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nahoe.9\Documents\OSU\Financial Reporting\"/>
    </mc:Choice>
  </mc:AlternateContent>
  <bookViews>
    <workbookView xWindow="9312" yWindow="288" windowWidth="6048" windowHeight="7860" tabRatio="819"/>
  </bookViews>
  <sheets>
    <sheet name="Project Summary" sheetId="14" r:id="rId1"/>
    <sheet name="FY-1 Summary" sheetId="16" r:id="rId2"/>
    <sheet name="FY-2 Summary" sheetId="35" r:id="rId3"/>
    <sheet name="FY-3 Summary" sheetId="36" r:id="rId4"/>
    <sheet name="GL Actuals" sheetId="18" r:id="rId5"/>
    <sheet name=" Costs Detail" sheetId="23" r:id="rId6"/>
    <sheet name="Labor Forecast" sheetId="21" r:id="rId7"/>
    <sheet name="Labor Hours" sheetId="22" r:id="rId8"/>
    <sheet name="MS Project Data - Forecast" sheetId="28" r:id="rId9"/>
    <sheet name="Budget" sheetId="24" r:id="rId10"/>
    <sheet name="Instructions" sheetId="32" r:id="rId11"/>
    <sheet name="Assumptions" sheetId="37" r:id="rId12"/>
    <sheet name="Project Changes" sheetId="38" r:id="rId13"/>
    <sheet name="Template Change Control" sheetId="39" r:id="rId14"/>
  </sheets>
  <externalReferences>
    <externalReference r:id="rId15"/>
    <externalReference r:id="rId16"/>
    <externalReference r:id="rId17"/>
    <externalReference r:id="rId18"/>
  </externalReferences>
  <definedNames>
    <definedName name="_xlnm._FilterDatabase" localSheetId="6" hidden="1">'Labor Forecast'!$A$1:$XDK$1</definedName>
    <definedName name="Dates" localSheetId="2">#REF!</definedName>
    <definedName name="Dates" localSheetId="3">#REF!</definedName>
    <definedName name="Dates" localSheetId="12">#REF!</definedName>
    <definedName name="Dates" localSheetId="13">#REF!</definedName>
    <definedName name="Dates">#REF!</definedName>
    <definedName name="Elapsed_months" localSheetId="5">[1]Reference!$F$2</definedName>
    <definedName name="Elapsed_months" localSheetId="9">[1]Reference!$F$2</definedName>
    <definedName name="Elapsed_months" localSheetId="4">[2]Reference!$F$2</definedName>
    <definedName name="Elapsed_months" localSheetId="6">[1]Reference!$F$2</definedName>
    <definedName name="Elapsed_months" localSheetId="7">[1]Reference!$F$2</definedName>
    <definedName name="Elapsed_months" localSheetId="8">[3]Reference!$F$2</definedName>
    <definedName name="Elapsed_months">[4]Reference!$F$2</definedName>
    <definedName name="Fiscal_year" localSheetId="5">[1]Reference!$I$5</definedName>
    <definedName name="Fiscal_year" localSheetId="9">[1]Reference!$I$5</definedName>
    <definedName name="Fiscal_year" localSheetId="4">[2]Reference!$I$5</definedName>
    <definedName name="Fiscal_year" localSheetId="6">[1]Reference!$I$5</definedName>
    <definedName name="Fiscal_year" localSheetId="7">[1]Reference!$I$5</definedName>
    <definedName name="Fiscal_year" localSheetId="8">[3]Reference!$I$5</definedName>
    <definedName name="Fiscal_year">[4]Reference!$I$5</definedName>
    <definedName name="Forecast_cost" localSheetId="5">[1]Forecast!$B$4:$P$32</definedName>
    <definedName name="Forecast_cost" localSheetId="9">[1]Forecast!$B$4:$P$32</definedName>
    <definedName name="Forecast_cost" localSheetId="1">#REF!</definedName>
    <definedName name="Forecast_cost" localSheetId="2">#REF!</definedName>
    <definedName name="Forecast_cost" localSheetId="3">#REF!</definedName>
    <definedName name="Forecast_cost" localSheetId="4">[2]Forecast!$B$4:$P$32</definedName>
    <definedName name="Forecast_cost" localSheetId="6">[1]Forecast!$B$4:$P$32</definedName>
    <definedName name="Forecast_cost" localSheetId="7">[1]Forecast!$B$4:$P$32</definedName>
    <definedName name="Forecast_cost" localSheetId="8">[3]Forecast!$B$4:$P$32</definedName>
    <definedName name="Forecast_cost" localSheetId="12">#REF!</definedName>
    <definedName name="Forecast_cost" localSheetId="0">#REF!</definedName>
    <definedName name="Forecast_cost" localSheetId="13">#REF!</definedName>
    <definedName name="Forecast_cost">#REF!</definedName>
    <definedName name="Forecast_cost_YTD" localSheetId="5">[1]Forecast!$R$4:$AD$24</definedName>
    <definedName name="Forecast_cost_YTD" localSheetId="9">[1]Forecast!$R$4:$AD$24</definedName>
    <definedName name="Forecast_cost_YTD" localSheetId="1">#REF!</definedName>
    <definedName name="Forecast_cost_YTD" localSheetId="2">#REF!</definedName>
    <definedName name="Forecast_cost_YTD" localSheetId="3">#REF!</definedName>
    <definedName name="Forecast_cost_YTD" localSheetId="4">[2]Forecast!$R$4:$AD$24</definedName>
    <definedName name="Forecast_cost_YTD" localSheetId="6">[1]Forecast!$R$4:$AD$24</definedName>
    <definedName name="Forecast_cost_YTD" localSheetId="7">[1]Forecast!$R$4:$AD$24</definedName>
    <definedName name="Forecast_cost_YTD" localSheetId="8">[3]Forecast!$R$4:$AD$24</definedName>
    <definedName name="Forecast_cost_YTD" localSheetId="12">#REF!</definedName>
    <definedName name="Forecast_cost_YTD" localSheetId="0">#REF!</definedName>
    <definedName name="Forecast_cost_YTD" localSheetId="13">#REF!</definedName>
    <definedName name="Forecast_cost_YTD">#REF!</definedName>
    <definedName name="Forecast_Source" localSheetId="5">[1]Forecast!$B$36:$P$76</definedName>
    <definedName name="Forecast_Source" localSheetId="9">[1]Forecast!$B$36:$P$76</definedName>
    <definedName name="Forecast_Source" localSheetId="1">#REF!</definedName>
    <definedName name="Forecast_Source" localSheetId="2">#REF!</definedName>
    <definedName name="Forecast_Source" localSheetId="3">#REF!</definedName>
    <definedName name="Forecast_Source" localSheetId="4">[2]Forecast!$B$36:$P$76</definedName>
    <definedName name="Forecast_Source" localSheetId="6">[1]Forecast!$B$36:$P$76</definedName>
    <definedName name="Forecast_Source" localSheetId="7">[1]Forecast!$B$36:$P$76</definedName>
    <definedName name="Forecast_Source" localSheetId="8">[3]Forecast!$B$36:$P$76</definedName>
    <definedName name="Forecast_Source" localSheetId="12">#REF!</definedName>
    <definedName name="Forecast_Source" localSheetId="0">#REF!</definedName>
    <definedName name="Forecast_Source" localSheetId="13">#REF!</definedName>
    <definedName name="Forecast_Source">#REF!</definedName>
    <definedName name="Forecast_Source_YTD" localSheetId="1">#REF!</definedName>
    <definedName name="Forecast_Source_YTD" localSheetId="2">#REF!</definedName>
    <definedName name="Forecast_Source_YTD" localSheetId="3">#REF!</definedName>
    <definedName name="Forecast_Source_YTD" localSheetId="4">#REF!</definedName>
    <definedName name="Forecast_Source_YTD" localSheetId="12">#REF!</definedName>
    <definedName name="Forecast_Source_YTD" localSheetId="0">#REF!</definedName>
    <definedName name="Forecast_Source_YTD" localSheetId="13">#REF!</definedName>
    <definedName name="Forecast_Source_YTD">#REF!</definedName>
    <definedName name="Funding_sources" localSheetId="2">#REF!</definedName>
    <definedName name="Funding_sources" localSheetId="3">#REF!</definedName>
    <definedName name="Funding_sources" localSheetId="12">#REF!</definedName>
    <definedName name="Funding_sources" localSheetId="13">#REF!</definedName>
    <definedName name="Funding_sources">#REF!</definedName>
    <definedName name="FY_Cash_Labor_Costs" localSheetId="5">[1]Reference!$F$12</definedName>
    <definedName name="FY_Cash_Labor_Costs" localSheetId="9">[1]Reference!$F$12</definedName>
    <definedName name="FY_Cash_Labor_Costs" localSheetId="4">[2]Reference!$F$12</definedName>
    <definedName name="FY_Cash_Labor_Costs" localSheetId="6">[1]Reference!$F$12</definedName>
    <definedName name="FY_Cash_Labor_Costs" localSheetId="7">[1]Reference!$F$12</definedName>
    <definedName name="FY_Cash_Labor_Costs" localSheetId="8">[3]Reference!$F$12</definedName>
    <definedName name="FY_Cash_Labor_Costs">[4]Reference!$F$12</definedName>
    <definedName name="FY_Cash_Labor_Hours" localSheetId="5">[1]Reference!$F$14</definedName>
    <definedName name="FY_Cash_Labor_Hours" localSheetId="9">[1]Reference!$F$14</definedName>
    <definedName name="FY_Cash_Labor_Hours" localSheetId="4">[2]Reference!$F$14</definedName>
    <definedName name="FY_Cash_Labor_Hours" localSheetId="6">[1]Reference!$F$14</definedName>
    <definedName name="FY_Cash_Labor_Hours" localSheetId="7">[1]Reference!$F$14</definedName>
    <definedName name="FY_Cash_Labor_Hours" localSheetId="8">[3]Reference!$F$14</definedName>
    <definedName name="FY_Cash_Labor_Hours">[4]Reference!$F$14</definedName>
    <definedName name="FY_CIO_Cash" localSheetId="2">#REF!</definedName>
    <definedName name="FY_CIO_Cash" localSheetId="3">#REF!</definedName>
    <definedName name="FY_CIO_Cash" localSheetId="12">#REF!</definedName>
    <definedName name="FY_CIO_Cash" localSheetId="13">#REF!</definedName>
    <definedName name="FY_CIO_Cash">#REF!</definedName>
    <definedName name="FY_CIO_PBA" localSheetId="2">#REF!</definedName>
    <definedName name="FY_CIO_PBA" localSheetId="3">#REF!</definedName>
    <definedName name="FY_CIO_PBA" localSheetId="12">#REF!</definedName>
    <definedName name="FY_CIO_PBA" localSheetId="13">#REF!</definedName>
    <definedName name="FY_CIO_PBA">#REF!</definedName>
    <definedName name="FY_Donated_Resources" localSheetId="2">#REF!</definedName>
    <definedName name="FY_Donated_Resources" localSheetId="3">#REF!</definedName>
    <definedName name="FY_Donated_Resources" localSheetId="12">#REF!</definedName>
    <definedName name="FY_Donated_Resources" localSheetId="13">#REF!</definedName>
    <definedName name="FY_Donated_Resources">#REF!</definedName>
    <definedName name="FY_Month" localSheetId="8">[3]Reference!$H$2</definedName>
    <definedName name="FY_Month" localSheetId="12">'Labor Hours'!#REF!</definedName>
    <definedName name="FY_Month" localSheetId="13">'Labor Hours'!#REF!</definedName>
    <definedName name="FY_Month">'Labor Hours'!#REF!</definedName>
    <definedName name="FY_Non_Cash_Labor_Costs" localSheetId="5">[1]Reference!$F$13</definedName>
    <definedName name="FY_Non_Cash_Labor_Costs" localSheetId="9">[1]Reference!$F$13</definedName>
    <definedName name="FY_Non_Cash_Labor_Costs" localSheetId="4">[2]Reference!$F$13</definedName>
    <definedName name="FY_Non_Cash_Labor_Costs" localSheetId="6">[1]Reference!$F$13</definedName>
    <definedName name="FY_Non_Cash_Labor_Costs" localSheetId="7">[1]Reference!$F$13</definedName>
    <definedName name="FY_Non_Cash_Labor_Costs" localSheetId="8">[3]Reference!$F$13</definedName>
    <definedName name="FY_Non_Cash_Labor_Costs">[4]Reference!$F$13</definedName>
    <definedName name="FY_Non_Cash_Labor_Hours" localSheetId="5">[1]Reference!$F$15</definedName>
    <definedName name="FY_Non_Cash_Labor_Hours" localSheetId="9">[1]Reference!$F$15</definedName>
    <definedName name="FY_Non_Cash_Labor_Hours" localSheetId="4">[2]Reference!$F$15</definedName>
    <definedName name="FY_Non_Cash_Labor_Hours" localSheetId="6">[1]Reference!$F$15</definedName>
    <definedName name="FY_Non_Cash_Labor_Hours" localSheetId="7">[1]Reference!$F$15</definedName>
    <definedName name="FY_Non_Cash_Labor_Hours" localSheetId="8">[3]Reference!$F$15</definedName>
    <definedName name="FY_Non_Cash_Labor_Hours">[4]Reference!$F$15</definedName>
    <definedName name="FY_non_labor_cost" localSheetId="5">[1]Reference!$F$11</definedName>
    <definedName name="FY_non_labor_cost" localSheetId="9">[1]Reference!$F$11</definedName>
    <definedName name="FY_non_labor_cost" localSheetId="4">[2]Reference!$F$11</definedName>
    <definedName name="FY_non_labor_cost" localSheetId="6">[1]Reference!$F$11</definedName>
    <definedName name="FY_non_labor_cost" localSheetId="7">[1]Reference!$F$11</definedName>
    <definedName name="FY_non_labor_cost" localSheetId="8">[3]Reference!$F$11</definedName>
    <definedName name="FY_non_labor_cost">[4]Reference!$F$11</definedName>
    <definedName name="FY_Other_Cash" localSheetId="2">#REF!</definedName>
    <definedName name="FY_Other_Cash" localSheetId="3">#REF!</definedName>
    <definedName name="FY_Other_Cash" localSheetId="12">#REF!</definedName>
    <definedName name="FY_Other_Cash" localSheetId="13">#REF!</definedName>
    <definedName name="FY_Other_Cash">#REF!</definedName>
    <definedName name="FY_Other_non_Cash" localSheetId="2">#REF!</definedName>
    <definedName name="FY_Other_non_Cash" localSheetId="3">#REF!</definedName>
    <definedName name="FY_Other_non_Cash" localSheetId="12">#REF!</definedName>
    <definedName name="FY_Other_non_Cash" localSheetId="13">#REF!</definedName>
    <definedName name="FY_Other_non_Cash">#REF!</definedName>
    <definedName name="FY_Total_Cash_Based" localSheetId="5">[1]Reference!$F$23</definedName>
    <definedName name="FY_Total_Cash_Based" localSheetId="9">[1]Reference!$F$23</definedName>
    <definedName name="FY_Total_Cash_Based" localSheetId="4">[2]Reference!$F$23</definedName>
    <definedName name="FY_Total_Cash_Based" localSheetId="6">[1]Reference!$F$23</definedName>
    <definedName name="FY_Total_Cash_Based" localSheetId="7">[1]Reference!$F$23</definedName>
    <definedName name="FY_Total_Cash_Based" localSheetId="8">[3]Reference!$F$23</definedName>
    <definedName name="FY_Total_Cash_Based">[4]Reference!$F$23</definedName>
    <definedName name="FY_Total_non_Cash_Based" localSheetId="5">[1]Reference!$F$24</definedName>
    <definedName name="FY_Total_non_Cash_Based" localSheetId="9">[1]Reference!$F$24</definedName>
    <definedName name="FY_Total_non_Cash_Based" localSheetId="4">[2]Reference!$F$24</definedName>
    <definedName name="FY_Total_non_Cash_Based" localSheetId="6">[1]Reference!$F$24</definedName>
    <definedName name="FY_Total_non_Cash_Based" localSheetId="7">[1]Reference!$F$24</definedName>
    <definedName name="FY_Total_non_Cash_Based" localSheetId="8">[3]Reference!$F$24</definedName>
    <definedName name="FY_Total_non_Cash_Based">[4]Reference!$F$24</definedName>
    <definedName name="FY_Univ_Cash" localSheetId="2">#REF!</definedName>
    <definedName name="FY_Univ_Cash" localSheetId="3">#REF!</definedName>
    <definedName name="FY_Univ_Cash" localSheetId="12">#REF!</definedName>
    <definedName name="FY_Univ_Cash" localSheetId="13">#REF!</definedName>
    <definedName name="FY_Univ_Cash">#REF!</definedName>
    <definedName name="FY_Univ_PBA" localSheetId="2">#REF!</definedName>
    <definedName name="FY_Univ_PBA" localSheetId="3">#REF!</definedName>
    <definedName name="FY_Univ_PBA" localSheetId="12">#REF!</definedName>
    <definedName name="FY_Univ_PBA" localSheetId="13">#REF!</definedName>
    <definedName name="FY_Univ_PBA">#REF!</definedName>
    <definedName name="Ops_Actual" localSheetId="5">'[1]Ops Support'!#REF!</definedName>
    <definedName name="Ops_Actual" localSheetId="9">'[1]Ops Support'!#REF!</definedName>
    <definedName name="Ops_Actual" localSheetId="1">'[4]Ops Support'!#REF!</definedName>
    <definedName name="Ops_Actual" localSheetId="2">'[4]Ops Support'!#REF!</definedName>
    <definedName name="Ops_Actual" localSheetId="3">'[4]Ops Support'!#REF!</definedName>
    <definedName name="Ops_Actual" localSheetId="4">'[2]Ops Support'!#REF!</definedName>
    <definedName name="Ops_Actual" localSheetId="6">'[1]Ops Support'!#REF!</definedName>
    <definedName name="Ops_Actual" localSheetId="7">'[1]Ops Support'!#REF!</definedName>
    <definedName name="Ops_Actual" localSheetId="8">'[3]Ops Support'!#REF!</definedName>
    <definedName name="Ops_Actual" localSheetId="12">'[4]Ops Support'!#REF!</definedName>
    <definedName name="Ops_Actual" localSheetId="0">'[4]Ops Support'!#REF!</definedName>
    <definedName name="Ops_Actual" localSheetId="13">'[4]Ops Support'!#REF!</definedName>
    <definedName name="Ops_Actual">'[4]Ops Support'!#REF!</definedName>
    <definedName name="Ops_Actual_YTD" localSheetId="5">'[1]Ops Support'!#REF!</definedName>
    <definedName name="Ops_Actual_YTD" localSheetId="9">'[1]Ops Support'!#REF!</definedName>
    <definedName name="Ops_Actual_YTD" localSheetId="1">'[4]Ops Support'!#REF!</definedName>
    <definedName name="Ops_Actual_YTD" localSheetId="2">'[4]Ops Support'!#REF!</definedName>
    <definedName name="Ops_Actual_YTD" localSheetId="3">'[4]Ops Support'!#REF!</definedName>
    <definedName name="Ops_Actual_YTD" localSheetId="4">'[2]Ops Support'!#REF!</definedName>
    <definedName name="Ops_Actual_YTD" localSheetId="6">'[1]Ops Support'!#REF!</definedName>
    <definedName name="Ops_Actual_YTD" localSheetId="7">'[1]Ops Support'!#REF!</definedName>
    <definedName name="Ops_Actual_YTD" localSheetId="8">'[3]Ops Support'!#REF!</definedName>
    <definedName name="Ops_Actual_YTD" localSheetId="12">'[4]Ops Support'!#REF!</definedName>
    <definedName name="Ops_Actual_YTD" localSheetId="0">'[4]Ops Support'!#REF!</definedName>
    <definedName name="Ops_Actual_YTD" localSheetId="13">'[4]Ops Support'!#REF!</definedName>
    <definedName name="Ops_Actual_YTD">'[4]Ops Support'!#REF!</definedName>
    <definedName name="Ops_Actual_YTD_1" localSheetId="1">'[4]Ops Support'!#REF!</definedName>
    <definedName name="Ops_Actual_YTD_1" localSheetId="2">'[4]Ops Support'!#REF!</definedName>
    <definedName name="Ops_Actual_YTD_1" localSheetId="3">'[4]Ops Support'!#REF!</definedName>
    <definedName name="Ops_Actual_YTD_1" localSheetId="4">'[4]Ops Support'!#REF!</definedName>
    <definedName name="Ops_Actual_YTD_1" localSheetId="12">'[4]Ops Support'!#REF!</definedName>
    <definedName name="Ops_Actual_YTD_1" localSheetId="13">'[4]Ops Support'!#REF!</definedName>
    <definedName name="Ops_Actual_YTD_1">'[4]Ops Support'!#REF!</definedName>
    <definedName name="Ops_Planned" localSheetId="2">#REF!</definedName>
    <definedName name="Ops_Planned" localSheetId="3">#REF!</definedName>
    <definedName name="Ops_Planned" localSheetId="12">#REF!</definedName>
    <definedName name="Ops_Planned" localSheetId="13">#REF!</definedName>
    <definedName name="Ops_Planned">#REF!</definedName>
    <definedName name="Ops_Planned_YTD" localSheetId="2">#REF!</definedName>
    <definedName name="Ops_Planned_YTD" localSheetId="3">#REF!</definedName>
    <definedName name="Ops_Planned_YTD" localSheetId="12">#REF!</definedName>
    <definedName name="Ops_Planned_YTD" localSheetId="13">#REF!</definedName>
    <definedName name="Ops_Planned_YTD">#REF!</definedName>
    <definedName name="Planned_Cost" localSheetId="5">[1]Planned!$B$4:$P$32</definedName>
    <definedName name="Planned_Cost" localSheetId="9">[1]Planned!$B$4:$P$32</definedName>
    <definedName name="Planned_Cost" localSheetId="4">[2]Planned!$B$4:$P$32</definedName>
    <definedName name="Planned_Cost" localSheetId="6">[1]Planned!$B$4:$P$32</definedName>
    <definedName name="Planned_Cost" localSheetId="7">[1]Planned!$B$4:$P$32</definedName>
    <definedName name="Planned_Cost" localSheetId="8">[3]Planned!$B$4:$P$32</definedName>
    <definedName name="Planned_Cost">[4]Planned!$B$4:$P$32</definedName>
    <definedName name="Planned_cost_YTD" localSheetId="5">[1]Planned!$R$4:$AD$24</definedName>
    <definedName name="Planned_cost_YTD" localSheetId="9">[1]Planned!$R$4:$AD$24</definedName>
    <definedName name="Planned_cost_YTD" localSheetId="4">[2]Planned!$R$4:$AD$24</definedName>
    <definedName name="Planned_cost_YTD" localSheetId="6">[1]Planned!$R$4:$AD$24</definedName>
    <definedName name="Planned_cost_YTD" localSheetId="7">[1]Planned!$R$4:$AD$24</definedName>
    <definedName name="Planned_cost_YTD" localSheetId="8">[3]Planned!$R$4:$AD$24</definedName>
    <definedName name="Planned_cost_YTD">[4]Planned!$R$4:$AD$24</definedName>
    <definedName name="Planned_Sources" localSheetId="5">[1]Planned!$B$36:$P$76</definedName>
    <definedName name="Planned_Sources" localSheetId="9">[1]Planned!$B$36:$P$76</definedName>
    <definedName name="Planned_Sources" localSheetId="4">[2]Planned!$B$36:$P$76</definedName>
    <definedName name="Planned_Sources" localSheetId="6">[1]Planned!$B$36:$P$76</definedName>
    <definedName name="Planned_Sources" localSheetId="7">[1]Planned!$B$36:$P$76</definedName>
    <definedName name="Planned_Sources" localSheetId="8">[3]Planned!$B$36:$P$76</definedName>
    <definedName name="Planned_Sources">[4]Planned!$B$36:$P$76</definedName>
    <definedName name="Planned_Sources_YTD" localSheetId="5">[1]Planned!$R$36:$AD$65</definedName>
    <definedName name="Planned_Sources_YTD" localSheetId="9">[1]Planned!$R$36:$AD$65</definedName>
    <definedName name="Planned_Sources_YTD" localSheetId="4">[2]Planned!$R$36:$AD$65</definedName>
    <definedName name="Planned_Sources_YTD" localSheetId="6">[1]Planned!$R$36:$AD$65</definedName>
    <definedName name="Planned_Sources_YTD" localSheetId="7">[1]Planned!$R$36:$AD$65</definedName>
    <definedName name="Planned_Sources_YTD" localSheetId="8">[3]Planned!$R$36:$AD$65</definedName>
    <definedName name="Planned_Sources_YTD">[4]Planned!$R$36:$AD$65</definedName>
    <definedName name="_xlnm.Print_Area" localSheetId="4">'GL Actuals'!$A$1:$Q$52</definedName>
    <definedName name="_xlnm.Print_Area" localSheetId="7">'Labor Hours'!$A$1:$AM$16</definedName>
    <definedName name="_xlnm.Print_Titles" localSheetId="5">' Costs Detail'!$A:$A</definedName>
    <definedName name="_xlnm.Print_Titles" localSheetId="9">Budget!$1:$1</definedName>
    <definedName name="_xlnm.Print_Titles" localSheetId="6">'Labor Forecast'!$A:$B,'Labor Forecast'!$1:$1</definedName>
    <definedName name="_xlnm.Print_Titles" localSheetId="7">'Labor Hours'!$A:$A,'Labor Hours'!$1:$1</definedName>
    <definedName name="_xlnm.Print_Titles" localSheetId="8">'MS Project Data - Forecast'!$A:$A</definedName>
    <definedName name="Project_End__Date" localSheetId="2">#REF!</definedName>
    <definedName name="Project_End__Date" localSheetId="3">#REF!</definedName>
    <definedName name="Project_End__Date" localSheetId="12">#REF!</definedName>
    <definedName name="Project_End__Date" localSheetId="13">#REF!</definedName>
    <definedName name="Project_End__Date">#REF!</definedName>
    <definedName name="Project_Name" localSheetId="5">'[1]Executive Summary'!$E$2</definedName>
    <definedName name="Project_Name" localSheetId="9">'[1]Executive Summary'!$E$2</definedName>
    <definedName name="Project_Name" localSheetId="2">#REF!</definedName>
    <definedName name="Project_Name" localSheetId="3">#REF!</definedName>
    <definedName name="Project_Name" localSheetId="4">'[2]Executive Summary'!$E$2</definedName>
    <definedName name="Project_Name" localSheetId="6">'[1]Executive Summary'!$E$2</definedName>
    <definedName name="Project_Name" localSheetId="7">'[1]Executive Summary'!$E$2</definedName>
    <definedName name="Project_Name" localSheetId="8">'[3]Executive Summary'!$E$2</definedName>
    <definedName name="Project_Name" localSheetId="12">#REF!</definedName>
    <definedName name="Project_Name" localSheetId="13">#REF!</definedName>
    <definedName name="Project_Name">#REF!</definedName>
    <definedName name="Reporting_Date" localSheetId="5">[1]Reference!$F$5</definedName>
    <definedName name="Reporting_Date" localSheetId="9">[1]Reference!$F$5</definedName>
    <definedName name="Reporting_Date" localSheetId="4">[2]Reference!$F$5</definedName>
    <definedName name="Reporting_Date" localSheetId="6">[1]Reference!$F$5</definedName>
    <definedName name="Reporting_Date" localSheetId="7">[1]Reference!$F$5</definedName>
    <definedName name="Reporting_Date" localSheetId="8">[3]Reference!$F$5</definedName>
    <definedName name="Reporting_Date">[4]Reference!$F$5</definedName>
    <definedName name="RiskScore" localSheetId="2">#REF!</definedName>
    <definedName name="RiskScore" localSheetId="3">#REF!</definedName>
    <definedName name="RiskScore" localSheetId="12">#REF!</definedName>
    <definedName name="RiskScore" localSheetId="13">#REF!</definedName>
    <definedName name="RiskScore">#REF!</definedName>
    <definedName name="Scale" localSheetId="2">#REF!</definedName>
    <definedName name="Scale" localSheetId="3">#REF!</definedName>
    <definedName name="Scale" localSheetId="12">#REF!</definedName>
    <definedName name="Scale" localSheetId="13">#REF!</definedName>
    <definedName name="Scale">#REF!</definedName>
    <definedName name="Score" localSheetId="2">#REF!</definedName>
    <definedName name="Score" localSheetId="3">#REF!</definedName>
    <definedName name="Score" localSheetId="12">#REF!</definedName>
    <definedName name="Score" localSheetId="13">#REF!</definedName>
    <definedName name="Score">#REF!</definedName>
    <definedName name="Status" localSheetId="2">#REF!</definedName>
    <definedName name="Status" localSheetId="3">#REF!</definedName>
    <definedName name="Status" localSheetId="12">#REF!</definedName>
    <definedName name="Status" localSheetId="13">#REF!</definedName>
    <definedName name="Status">#REF!</definedName>
    <definedName name="Task_Status" localSheetId="2">#REF!</definedName>
    <definedName name="Task_Status" localSheetId="3">#REF!</definedName>
    <definedName name="Task_Status" localSheetId="12">#REF!</definedName>
    <definedName name="Task_Status" localSheetId="13">#REF!</definedName>
    <definedName name="Task_Status">#REF!</definedName>
    <definedName name="Total_Months" localSheetId="5">[1]Reference!$G$2</definedName>
    <definedName name="Total_Months" localSheetId="9">[1]Reference!$G$2</definedName>
    <definedName name="Total_Months" localSheetId="4">[2]Reference!$G$2</definedName>
    <definedName name="Total_Months" localSheetId="6">[1]Reference!$G$2</definedName>
    <definedName name="Total_Months" localSheetId="7">[1]Reference!$G$2</definedName>
    <definedName name="Total_Months" localSheetId="8">[3]Reference!$G$2</definedName>
    <definedName name="Total_Months">[4]Reference!$G$2</definedName>
    <definedName name="Trend" localSheetId="2">#REF!</definedName>
    <definedName name="Trend" localSheetId="3">#REF!</definedName>
    <definedName name="Trend" localSheetId="12">#REF!</definedName>
    <definedName name="Trend" localSheetId="13">#REF!</definedName>
    <definedName name="Trend">#REF!</definedName>
  </definedNames>
  <calcPr calcId="152511" concurrentCalc="0"/>
</workbook>
</file>

<file path=xl/calcChain.xml><?xml version="1.0" encoding="utf-8"?>
<calcChain xmlns="http://schemas.openxmlformats.org/spreadsheetml/2006/main">
  <c r="F36" i="14" l="1"/>
  <c r="AR15" i="21"/>
  <c r="AQ15" i="21"/>
  <c r="AP15" i="21"/>
  <c r="AO15" i="21"/>
  <c r="AN15" i="21"/>
  <c r="AM15" i="21"/>
  <c r="AL15" i="21"/>
  <c r="AK15" i="21"/>
  <c r="AJ15" i="21"/>
  <c r="AI15"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G15" i="21"/>
  <c r="AR14" i="21"/>
  <c r="AQ14" i="21"/>
  <c r="AP14" i="21"/>
  <c r="AO14" i="21"/>
  <c r="AN14" i="21"/>
  <c r="AM14" i="21"/>
  <c r="AL14" i="21"/>
  <c r="AK14" i="21"/>
  <c r="AJ14" i="21"/>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G14" i="21"/>
  <c r="I24" i="21"/>
  <c r="J24" i="21"/>
  <c r="K24" i="21"/>
  <c r="L24" i="21"/>
  <c r="M24" i="21"/>
  <c r="N24" i="21"/>
  <c r="O24" i="21"/>
  <c r="P24" i="21"/>
  <c r="Q24" i="21"/>
  <c r="R24" i="21"/>
  <c r="S24" i="21"/>
  <c r="T24" i="21"/>
  <c r="D20" i="16"/>
  <c r="U24" i="21"/>
  <c r="V24" i="21"/>
  <c r="W24" i="21"/>
  <c r="X24" i="21"/>
  <c r="Y24" i="21"/>
  <c r="Z24" i="21"/>
  <c r="AA24" i="21"/>
  <c r="AB24" i="21"/>
  <c r="AC24" i="21"/>
  <c r="AD24" i="21"/>
  <c r="AE24" i="21"/>
  <c r="AF24" i="21"/>
  <c r="D20" i="35"/>
  <c r="AG24" i="21"/>
  <c r="AH24" i="21"/>
  <c r="AI24" i="21"/>
  <c r="AJ24" i="21"/>
  <c r="AK24" i="21"/>
  <c r="AL24" i="21"/>
  <c r="AM24" i="21"/>
  <c r="AN24" i="21"/>
  <c r="AO24" i="21"/>
  <c r="AP24" i="21"/>
  <c r="AQ24" i="21"/>
  <c r="AR24" i="21"/>
  <c r="D20" i="36"/>
  <c r="D19" i="14"/>
  <c r="D18" i="14"/>
  <c r="E18" i="14"/>
  <c r="E25" i="14"/>
  <c r="C1" i="22"/>
  <c r="C3" i="22"/>
  <c r="C4" i="22"/>
  <c r="C5" i="22"/>
  <c r="C6" i="22"/>
  <c r="D1" i="22"/>
  <c r="D3" i="22"/>
  <c r="D4" i="22"/>
  <c r="D5" i="22"/>
  <c r="D6" i="22"/>
  <c r="E1" i="22"/>
  <c r="E3" i="22"/>
  <c r="E4" i="22"/>
  <c r="E5" i="22"/>
  <c r="E6" i="22"/>
  <c r="F1" i="22"/>
  <c r="F3" i="22"/>
  <c r="F4" i="22"/>
  <c r="F5" i="22"/>
  <c r="F6" i="22"/>
  <c r="G1" i="22"/>
  <c r="G3" i="22"/>
  <c r="G4" i="22"/>
  <c r="G5" i="22"/>
  <c r="G6" i="22"/>
  <c r="H1" i="22"/>
  <c r="H3" i="22"/>
  <c r="H4" i="22"/>
  <c r="H5" i="22"/>
  <c r="H6" i="22"/>
  <c r="I1" i="22"/>
  <c r="I3" i="22"/>
  <c r="I4" i="22"/>
  <c r="I5" i="22"/>
  <c r="I6" i="22"/>
  <c r="J1" i="22"/>
  <c r="J3" i="22"/>
  <c r="J4" i="22"/>
  <c r="J5" i="22"/>
  <c r="J6" i="22"/>
  <c r="K1" i="22"/>
  <c r="K3" i="22"/>
  <c r="K4" i="22"/>
  <c r="K5" i="22"/>
  <c r="K6" i="22"/>
  <c r="L1" i="22"/>
  <c r="L3" i="22"/>
  <c r="L4" i="22"/>
  <c r="L5" i="22"/>
  <c r="L6" i="22"/>
  <c r="M1" i="22"/>
  <c r="M3" i="22"/>
  <c r="M4" i="22"/>
  <c r="M5" i="22"/>
  <c r="M6" i="22"/>
  <c r="N1" i="22"/>
  <c r="N3" i="22"/>
  <c r="N4" i="22"/>
  <c r="N5" i="22"/>
  <c r="N6" i="22"/>
  <c r="C35" i="16"/>
  <c r="I30" i="21"/>
  <c r="J30" i="21"/>
  <c r="K30" i="21"/>
  <c r="L30" i="21"/>
  <c r="M30" i="21"/>
  <c r="N30" i="21"/>
  <c r="O30" i="21"/>
  <c r="P30" i="21"/>
  <c r="Q30" i="21"/>
  <c r="R30" i="21"/>
  <c r="S30" i="21"/>
  <c r="T30" i="21"/>
  <c r="D35" i="16"/>
  <c r="E35" i="16"/>
  <c r="B35" i="16"/>
  <c r="F35" i="16"/>
  <c r="F27" i="16"/>
  <c r="F16" i="16"/>
  <c r="E27" i="16"/>
  <c r="E16" i="16"/>
  <c r="D27" i="16"/>
  <c r="D16" i="16"/>
  <c r="C27" i="16"/>
  <c r="C16" i="16"/>
  <c r="B27" i="16"/>
  <c r="B16" i="16"/>
  <c r="O1" i="22"/>
  <c r="P1" i="22"/>
  <c r="Q1" i="22"/>
  <c r="R1" i="22"/>
  <c r="S1" i="22"/>
  <c r="T1" i="22"/>
  <c r="U1" i="22"/>
  <c r="V1" i="22"/>
  <c r="W1" i="22"/>
  <c r="X1" i="22"/>
  <c r="Y1" i="22"/>
  <c r="Z1" i="22"/>
  <c r="AA1" i="22"/>
  <c r="AA3" i="22"/>
  <c r="AA4" i="22"/>
  <c r="AA5" i="22"/>
  <c r="AA6" i="22"/>
  <c r="AB1" i="22"/>
  <c r="AB3" i="22"/>
  <c r="AB4" i="22"/>
  <c r="AB5" i="22"/>
  <c r="AB6" i="22"/>
  <c r="AC1" i="22"/>
  <c r="AC3" i="22"/>
  <c r="AC4" i="22"/>
  <c r="AC5" i="22"/>
  <c r="AC6" i="22"/>
  <c r="AD1" i="22"/>
  <c r="AD3" i="22"/>
  <c r="AD4" i="22"/>
  <c r="AD5" i="22"/>
  <c r="AD6" i="22"/>
  <c r="AE1" i="22"/>
  <c r="AE3" i="22"/>
  <c r="AE4" i="22"/>
  <c r="AE5" i="22"/>
  <c r="AE6" i="22"/>
  <c r="AF1" i="22"/>
  <c r="AF3" i="22"/>
  <c r="AF4" i="22"/>
  <c r="AF5" i="22"/>
  <c r="AF6" i="22"/>
  <c r="AG1" i="22"/>
  <c r="AG3" i="22"/>
  <c r="AG4" i="22"/>
  <c r="AG5" i="22"/>
  <c r="AG6" i="22"/>
  <c r="AH1" i="22"/>
  <c r="AH3" i="22"/>
  <c r="AH4" i="22"/>
  <c r="AH5" i="22"/>
  <c r="AH6" i="22"/>
  <c r="AI1" i="22"/>
  <c r="AI3" i="22"/>
  <c r="AI4" i="22"/>
  <c r="AI5" i="22"/>
  <c r="AI6" i="22"/>
  <c r="AJ1" i="22"/>
  <c r="AJ3" i="22"/>
  <c r="AJ4" i="22"/>
  <c r="AJ5" i="22"/>
  <c r="AJ6" i="22"/>
  <c r="AK1" i="22"/>
  <c r="AK3" i="22"/>
  <c r="AK4" i="22"/>
  <c r="AK5" i="22"/>
  <c r="AK6" i="22"/>
  <c r="AL1" i="22"/>
  <c r="AL3" i="22"/>
  <c r="AL4" i="22"/>
  <c r="AL5" i="22"/>
  <c r="AL6" i="22"/>
  <c r="C35" i="36"/>
  <c r="AG30" i="21"/>
  <c r="AH30" i="21"/>
  <c r="AI30" i="21"/>
  <c r="AJ30" i="21"/>
  <c r="AK30" i="21"/>
  <c r="AL30" i="21"/>
  <c r="AM30" i="21"/>
  <c r="AN30" i="21"/>
  <c r="AO30" i="21"/>
  <c r="AP30" i="21"/>
  <c r="AQ30" i="21"/>
  <c r="AR30" i="21"/>
  <c r="D35" i="36"/>
  <c r="E35" i="36"/>
  <c r="B35" i="36"/>
  <c r="F35" i="36"/>
  <c r="F27" i="36"/>
  <c r="F16" i="36"/>
  <c r="E27" i="36"/>
  <c r="E16" i="36"/>
  <c r="D27" i="36"/>
  <c r="D16" i="36"/>
  <c r="C27" i="36"/>
  <c r="C16" i="36"/>
  <c r="B27" i="36"/>
  <c r="B16" i="36"/>
  <c r="B35" i="35"/>
  <c r="B27" i="35"/>
  <c r="B16" i="35"/>
  <c r="O3" i="22"/>
  <c r="O4" i="22"/>
  <c r="O5" i="22"/>
  <c r="O6" i="22"/>
  <c r="P3" i="22"/>
  <c r="P4" i="22"/>
  <c r="P5" i="22"/>
  <c r="P6" i="22"/>
  <c r="Q3" i="22"/>
  <c r="Q4" i="22"/>
  <c r="Q5" i="22"/>
  <c r="Q6" i="22"/>
  <c r="R3" i="22"/>
  <c r="R4" i="22"/>
  <c r="R5" i="22"/>
  <c r="R6" i="22"/>
  <c r="S3" i="22"/>
  <c r="S4" i="22"/>
  <c r="S5" i="22"/>
  <c r="S6" i="22"/>
  <c r="T3" i="22"/>
  <c r="T4" i="22"/>
  <c r="T5" i="22"/>
  <c r="T6" i="22"/>
  <c r="U3" i="22"/>
  <c r="U4" i="22"/>
  <c r="U5" i="22"/>
  <c r="U6" i="22"/>
  <c r="V3" i="22"/>
  <c r="V4" i="22"/>
  <c r="V5" i="22"/>
  <c r="V6" i="22"/>
  <c r="W3" i="22"/>
  <c r="W4" i="22"/>
  <c r="W5" i="22"/>
  <c r="W6" i="22"/>
  <c r="X3" i="22"/>
  <c r="X4" i="22"/>
  <c r="X5" i="22"/>
  <c r="X6" i="22"/>
  <c r="Y3" i="22"/>
  <c r="Y4" i="22"/>
  <c r="Y5" i="22"/>
  <c r="Y6" i="22"/>
  <c r="Z3" i="22"/>
  <c r="Z4" i="22"/>
  <c r="Z5" i="22"/>
  <c r="Z6" i="22"/>
  <c r="C35" i="35"/>
  <c r="U30" i="21"/>
  <c r="V30" i="21"/>
  <c r="W30" i="21"/>
  <c r="X30" i="21"/>
  <c r="Y30" i="21"/>
  <c r="Z30" i="21"/>
  <c r="AA30" i="21"/>
  <c r="AB30" i="21"/>
  <c r="AC30" i="21"/>
  <c r="AD30" i="21"/>
  <c r="AE30" i="21"/>
  <c r="AF30" i="21"/>
  <c r="D35" i="35"/>
  <c r="E35" i="35"/>
  <c r="F35" i="35"/>
  <c r="F27" i="35"/>
  <c r="F16" i="35"/>
  <c r="E27" i="35"/>
  <c r="E16" i="35"/>
  <c r="D27" i="35"/>
  <c r="D16" i="35"/>
  <c r="C27" i="35"/>
  <c r="C16" i="35"/>
  <c r="F34" i="14"/>
  <c r="F26" i="14"/>
  <c r="F15" i="14"/>
  <c r="E34" i="14"/>
  <c r="E26" i="14"/>
  <c r="E15" i="14"/>
  <c r="D34" i="14"/>
  <c r="D26" i="14"/>
  <c r="D15" i="14"/>
  <c r="C34" i="14"/>
  <c r="C26" i="14"/>
  <c r="C15" i="14"/>
  <c r="E30" i="24"/>
  <c r="B34" i="14"/>
  <c r="B26" i="14"/>
  <c r="B15" i="14"/>
  <c r="H36" i="23"/>
  <c r="I36" i="23"/>
  <c r="J36" i="23"/>
  <c r="K36" i="23"/>
  <c r="L36" i="23"/>
  <c r="M36" i="23"/>
  <c r="N36" i="23"/>
  <c r="O36" i="23"/>
  <c r="P36" i="23"/>
  <c r="Q36" i="23"/>
  <c r="R36" i="23"/>
  <c r="S36" i="23"/>
  <c r="T36" i="23"/>
  <c r="U36" i="23"/>
  <c r="V36" i="23"/>
  <c r="W36" i="23"/>
  <c r="X36" i="23"/>
  <c r="Y36" i="23"/>
  <c r="Z36" i="23"/>
  <c r="AA36" i="23"/>
  <c r="AB36" i="23"/>
  <c r="AC36" i="23"/>
  <c r="AD36" i="23"/>
  <c r="AE36" i="23"/>
  <c r="AF36" i="23"/>
  <c r="AG36" i="23"/>
  <c r="AH36" i="23"/>
  <c r="AI36" i="23"/>
  <c r="AJ36" i="23"/>
  <c r="AK36" i="23"/>
  <c r="AL36" i="23"/>
  <c r="AM36" i="23"/>
  <c r="AN36" i="23"/>
  <c r="AO36" i="23"/>
  <c r="AP36" i="23"/>
  <c r="H37" i="23"/>
  <c r="I37" i="23"/>
  <c r="J37" i="23"/>
  <c r="K37" i="23"/>
  <c r="L37" i="23"/>
  <c r="M37" i="23"/>
  <c r="N37" i="23"/>
  <c r="O37" i="23"/>
  <c r="P37" i="23"/>
  <c r="Q37" i="23"/>
  <c r="R37" i="23"/>
  <c r="S37" i="23"/>
  <c r="T37" i="23"/>
  <c r="U37" i="23"/>
  <c r="V37" i="23"/>
  <c r="W37" i="23"/>
  <c r="X37" i="23"/>
  <c r="Y37" i="23"/>
  <c r="Z37" i="23"/>
  <c r="AA37" i="23"/>
  <c r="AB37" i="23"/>
  <c r="AC37" i="23"/>
  <c r="AD37" i="23"/>
  <c r="AE37" i="23"/>
  <c r="AF37" i="23"/>
  <c r="AG37" i="23"/>
  <c r="AH37" i="23"/>
  <c r="AI37" i="23"/>
  <c r="AJ37" i="23"/>
  <c r="AK37" i="23"/>
  <c r="AL37" i="23"/>
  <c r="AM37" i="23"/>
  <c r="AN37" i="23"/>
  <c r="AO37" i="23"/>
  <c r="AP37" i="23"/>
  <c r="G37" i="23"/>
  <c r="G36" i="23"/>
  <c r="C20" i="22"/>
  <c r="D19" i="22"/>
  <c r="D23" i="22"/>
  <c r="E19" i="22"/>
  <c r="E23" i="22"/>
  <c r="F19" i="22"/>
  <c r="F23" i="22"/>
  <c r="G19" i="22"/>
  <c r="G23" i="22"/>
  <c r="H19" i="22"/>
  <c r="H23" i="22"/>
  <c r="I19" i="22"/>
  <c r="I23" i="22"/>
  <c r="J19" i="22"/>
  <c r="J23" i="22"/>
  <c r="K19" i="22"/>
  <c r="K23" i="22"/>
  <c r="L19" i="22"/>
  <c r="L23" i="22"/>
  <c r="M19" i="22"/>
  <c r="M23" i="22"/>
  <c r="N19" i="22"/>
  <c r="N23" i="22"/>
  <c r="O19" i="22"/>
  <c r="O23" i="22"/>
  <c r="P19" i="22"/>
  <c r="P23" i="22"/>
  <c r="Q19" i="22"/>
  <c r="Q23" i="22"/>
  <c r="R19" i="22"/>
  <c r="R23" i="22"/>
  <c r="S19" i="22"/>
  <c r="S23" i="22"/>
  <c r="T19" i="22"/>
  <c r="T23" i="22"/>
  <c r="U19" i="22"/>
  <c r="U23" i="22"/>
  <c r="V19" i="22"/>
  <c r="V23" i="22"/>
  <c r="W19" i="22"/>
  <c r="W23" i="22"/>
  <c r="X19" i="22"/>
  <c r="X23" i="22"/>
  <c r="Y19" i="22"/>
  <c r="Y23" i="22"/>
  <c r="Z19" i="22"/>
  <c r="Z23" i="22"/>
  <c r="AA19" i="22"/>
  <c r="AA23" i="22"/>
  <c r="AB19" i="22"/>
  <c r="AB23" i="22"/>
  <c r="AC19" i="22"/>
  <c r="AC23" i="22"/>
  <c r="AD19" i="22"/>
  <c r="AD23" i="22"/>
  <c r="AE19" i="22"/>
  <c r="AE23" i="22"/>
  <c r="AF19" i="22"/>
  <c r="AF23" i="22"/>
  <c r="AG19" i="22"/>
  <c r="AG23" i="22"/>
  <c r="AH19" i="22"/>
  <c r="AH23" i="22"/>
  <c r="AI19" i="22"/>
  <c r="AI23" i="22"/>
  <c r="AJ19" i="22"/>
  <c r="AJ23" i="22"/>
  <c r="AK19" i="22"/>
  <c r="AK23" i="22"/>
  <c r="AL19" i="22"/>
  <c r="AL23" i="22"/>
  <c r="AM19" i="22"/>
  <c r="AM23" i="22"/>
  <c r="D20" i="22"/>
  <c r="D24" i="22"/>
  <c r="E20" i="22"/>
  <c r="E24" i="22"/>
  <c r="F20" i="22"/>
  <c r="F24" i="22"/>
  <c r="G20" i="22"/>
  <c r="G24" i="22"/>
  <c r="H20" i="22"/>
  <c r="H24" i="22"/>
  <c r="I20" i="22"/>
  <c r="I24" i="22"/>
  <c r="J20" i="22"/>
  <c r="J24" i="22"/>
  <c r="K20" i="22"/>
  <c r="K24" i="22"/>
  <c r="L20" i="22"/>
  <c r="L24" i="22"/>
  <c r="M20" i="22"/>
  <c r="M24" i="22"/>
  <c r="N20" i="22"/>
  <c r="N24" i="22"/>
  <c r="O20" i="22"/>
  <c r="O24" i="22"/>
  <c r="P20" i="22"/>
  <c r="P24" i="22"/>
  <c r="Q20" i="22"/>
  <c r="Q24" i="22"/>
  <c r="R20" i="22"/>
  <c r="R24" i="22"/>
  <c r="S20" i="22"/>
  <c r="S24" i="22"/>
  <c r="T20" i="22"/>
  <c r="T24" i="22"/>
  <c r="U20" i="22"/>
  <c r="U24" i="22"/>
  <c r="V20" i="22"/>
  <c r="V24" i="22"/>
  <c r="W20" i="22"/>
  <c r="W24" i="22"/>
  <c r="X20" i="22"/>
  <c r="X24" i="22"/>
  <c r="Y20" i="22"/>
  <c r="Y24" i="22"/>
  <c r="Z20" i="22"/>
  <c r="Z24" i="22"/>
  <c r="AA20" i="22"/>
  <c r="AA24" i="22"/>
  <c r="AB20" i="22"/>
  <c r="AB24" i="22"/>
  <c r="AC20" i="22"/>
  <c r="AC24" i="22"/>
  <c r="AD20" i="22"/>
  <c r="AD24" i="22"/>
  <c r="AE20" i="22"/>
  <c r="AE24" i="22"/>
  <c r="AF20" i="22"/>
  <c r="AF24" i="22"/>
  <c r="AG20" i="22"/>
  <c r="AG24" i="22"/>
  <c r="AH20" i="22"/>
  <c r="AH24" i="22"/>
  <c r="AI20" i="22"/>
  <c r="AI24" i="22"/>
  <c r="AJ20" i="22"/>
  <c r="AJ24" i="22"/>
  <c r="AK20" i="22"/>
  <c r="AK24" i="22"/>
  <c r="AL20" i="22"/>
  <c r="AL24" i="22"/>
  <c r="AM20" i="22"/>
  <c r="AM24" i="22"/>
  <c r="C24" i="22"/>
  <c r="C19" i="22"/>
  <c r="C23" i="22"/>
  <c r="C18" i="22"/>
  <c r="C22" i="22"/>
  <c r="E39" i="23"/>
  <c r="E38" i="23"/>
  <c r="D38" i="23"/>
  <c r="C40" i="18"/>
  <c r="C14" i="36"/>
  <c r="C39" i="18"/>
  <c r="C13" i="36"/>
  <c r="C26" i="18"/>
  <c r="C14" i="35"/>
  <c r="C25" i="18"/>
  <c r="C13" i="35"/>
  <c r="C12" i="18"/>
  <c r="C14" i="16"/>
  <c r="C11" i="18"/>
  <c r="C13" i="16"/>
  <c r="B2" i="28"/>
  <c r="C2" i="28"/>
  <c r="D2" i="28"/>
  <c r="E2" i="28"/>
  <c r="F2" i="28"/>
  <c r="G2" i="28"/>
  <c r="H2" i="28"/>
  <c r="I2" i="28"/>
  <c r="I1" i="28"/>
  <c r="J2" i="28"/>
  <c r="J1" i="28"/>
  <c r="K2" i="28"/>
  <c r="K1" i="28"/>
  <c r="L2" i="28"/>
  <c r="L1" i="28"/>
  <c r="M2" i="28"/>
  <c r="M1" i="28"/>
  <c r="N2" i="28"/>
  <c r="N1" i="28"/>
  <c r="O2" i="28"/>
  <c r="O1" i="28"/>
  <c r="P2" i="28"/>
  <c r="P1" i="28"/>
  <c r="Q2" i="28"/>
  <c r="Q1" i="28"/>
  <c r="R2" i="28"/>
  <c r="R1" i="28"/>
  <c r="S2" i="28"/>
  <c r="S1" i="28"/>
  <c r="T2" i="28"/>
  <c r="T1" i="28"/>
  <c r="U2" i="28"/>
  <c r="U1" i="28"/>
  <c r="V2" i="28"/>
  <c r="V1" i="28"/>
  <c r="W2" i="28"/>
  <c r="W1" i="28"/>
  <c r="X2" i="28"/>
  <c r="X1" i="28"/>
  <c r="Y2" i="28"/>
  <c r="Y1" i="28"/>
  <c r="Z2" i="28"/>
  <c r="Z1" i="28"/>
  <c r="AA2" i="28"/>
  <c r="AA1" i="28"/>
  <c r="AB2" i="28"/>
  <c r="AB1" i="28"/>
  <c r="AC2" i="28"/>
  <c r="AC1" i="28"/>
  <c r="AD2" i="28"/>
  <c r="AD1" i="28"/>
  <c r="AE2" i="28"/>
  <c r="AE1" i="28"/>
  <c r="AF2" i="28"/>
  <c r="AF1" i="28"/>
  <c r="AG2" i="28"/>
  <c r="AG1" i="28"/>
  <c r="AH2" i="28"/>
  <c r="AH1" i="28"/>
  <c r="AI2" i="28"/>
  <c r="AI1" i="28"/>
  <c r="AJ2" i="28"/>
  <c r="AJ1" i="28"/>
  <c r="AK2" i="28"/>
  <c r="AK1" i="28"/>
  <c r="C1" i="28"/>
  <c r="D1" i="28"/>
  <c r="E1" i="28"/>
  <c r="F1" i="28"/>
  <c r="G1" i="28"/>
  <c r="H1" i="28"/>
  <c r="B1" i="28"/>
  <c r="C54" i="18"/>
  <c r="C53" i="18"/>
  <c r="C55" i="18"/>
  <c r="Q13" i="18"/>
  <c r="P13" i="18"/>
  <c r="O13" i="18"/>
  <c r="N13" i="18"/>
  <c r="M13" i="18"/>
  <c r="L13" i="18"/>
  <c r="K13" i="18"/>
  <c r="J13" i="18"/>
  <c r="I13" i="18"/>
  <c r="H13" i="18"/>
  <c r="G13" i="18"/>
  <c r="F13" i="18"/>
  <c r="Q27" i="18"/>
  <c r="P27" i="18"/>
  <c r="O27" i="18"/>
  <c r="N27" i="18"/>
  <c r="M27" i="18"/>
  <c r="L27" i="18"/>
  <c r="K27" i="18"/>
  <c r="J27" i="18"/>
  <c r="I27" i="18"/>
  <c r="H27" i="18"/>
  <c r="G27" i="18"/>
  <c r="F27" i="18"/>
  <c r="G41" i="18"/>
  <c r="H41" i="18"/>
  <c r="I41" i="18"/>
  <c r="J41" i="18"/>
  <c r="K41" i="18"/>
  <c r="L41" i="18"/>
  <c r="M41" i="18"/>
  <c r="N41" i="18"/>
  <c r="O41" i="18"/>
  <c r="P41" i="18"/>
  <c r="Q41" i="18"/>
  <c r="F41" i="18"/>
  <c r="C18" i="18"/>
  <c r="C19" i="18"/>
  <c r="C20" i="18"/>
  <c r="C21" i="18"/>
  <c r="C22" i="18"/>
  <c r="C23" i="18"/>
  <c r="C17" i="18"/>
  <c r="C5" i="18"/>
  <c r="C6" i="18"/>
  <c r="C7" i="18"/>
  <c r="C8" i="18"/>
  <c r="C9" i="18"/>
  <c r="C4" i="18"/>
  <c r="C3" i="18"/>
  <c r="C15" i="35"/>
  <c r="D15" i="35"/>
  <c r="AR17" i="21"/>
  <c r="AQ17" i="21"/>
  <c r="AP17" i="21"/>
  <c r="AO17" i="21"/>
  <c r="AN17" i="21"/>
  <c r="AM17" i="21"/>
  <c r="AL17" i="21"/>
  <c r="AK17" i="21"/>
  <c r="AJ17" i="21"/>
  <c r="AI17" i="21"/>
  <c r="AH17" i="21"/>
  <c r="AG17" i="21"/>
  <c r="AR13" i="21"/>
  <c r="AQ13" i="21"/>
  <c r="AP13" i="21"/>
  <c r="AO13" i="21"/>
  <c r="AN13" i="21"/>
  <c r="AM13" i="21"/>
  <c r="AL13" i="21"/>
  <c r="AK13" i="21"/>
  <c r="AJ13" i="21"/>
  <c r="AI13" i="21"/>
  <c r="AH13" i="21"/>
  <c r="AG13" i="21"/>
  <c r="AR11" i="21"/>
  <c r="AQ11" i="21"/>
  <c r="AP11" i="21"/>
  <c r="AO11" i="21"/>
  <c r="AN11" i="21"/>
  <c r="AM11" i="21"/>
  <c r="AL11" i="21"/>
  <c r="AK11" i="21"/>
  <c r="AJ11" i="21"/>
  <c r="AI11" i="21"/>
  <c r="AH11" i="21"/>
  <c r="AG11" i="21"/>
  <c r="AR9" i="21"/>
  <c r="AQ9" i="21"/>
  <c r="AP9" i="21"/>
  <c r="AO9" i="21"/>
  <c r="AN9" i="21"/>
  <c r="AM9" i="21"/>
  <c r="AL9" i="21"/>
  <c r="AK9" i="21"/>
  <c r="AJ9" i="21"/>
  <c r="AI9" i="21"/>
  <c r="AH9" i="21"/>
  <c r="AG9" i="21"/>
  <c r="AR7" i="21"/>
  <c r="AQ7" i="21"/>
  <c r="AP7" i="21"/>
  <c r="AO7" i="21"/>
  <c r="AN7" i="21"/>
  <c r="AM7" i="21"/>
  <c r="AL7" i="21"/>
  <c r="AK7" i="21"/>
  <c r="AJ7" i="21"/>
  <c r="AI7" i="21"/>
  <c r="AH7" i="21"/>
  <c r="AG7" i="21"/>
  <c r="AR5" i="21"/>
  <c r="AQ5" i="21"/>
  <c r="AP5" i="21"/>
  <c r="AO5" i="21"/>
  <c r="AN5" i="21"/>
  <c r="AM5" i="21"/>
  <c r="AL5" i="21"/>
  <c r="AK5" i="21"/>
  <c r="AJ5" i="21"/>
  <c r="AI5" i="21"/>
  <c r="AH5" i="21"/>
  <c r="AG5" i="21"/>
  <c r="AH3" i="21"/>
  <c r="AI3" i="21"/>
  <c r="AJ3" i="21"/>
  <c r="AK3" i="21"/>
  <c r="AL3" i="21"/>
  <c r="AM3" i="21"/>
  <c r="AN3" i="21"/>
  <c r="AO3" i="21"/>
  <c r="AP3" i="21"/>
  <c r="AQ3" i="21"/>
  <c r="AR3" i="21"/>
  <c r="AG3" i="21"/>
  <c r="AF17" i="21"/>
  <c r="AE17" i="21"/>
  <c r="AD17" i="21"/>
  <c r="AC17" i="21"/>
  <c r="AB17" i="21"/>
  <c r="AA17" i="21"/>
  <c r="Z17" i="21"/>
  <c r="Y17" i="21"/>
  <c r="X17" i="21"/>
  <c r="W17" i="21"/>
  <c r="V17" i="21"/>
  <c r="U17" i="21"/>
  <c r="AF13" i="21"/>
  <c r="AE13" i="21"/>
  <c r="AD13" i="21"/>
  <c r="AC13" i="21"/>
  <c r="AB13" i="21"/>
  <c r="AA13" i="21"/>
  <c r="Z13" i="21"/>
  <c r="Y13" i="21"/>
  <c r="X13" i="21"/>
  <c r="W13" i="21"/>
  <c r="V13" i="21"/>
  <c r="U13" i="21"/>
  <c r="AF11" i="21"/>
  <c r="AE11" i="21"/>
  <c r="AD11" i="21"/>
  <c r="AC11" i="21"/>
  <c r="AB11" i="21"/>
  <c r="AA11" i="21"/>
  <c r="Z11" i="21"/>
  <c r="Y11" i="21"/>
  <c r="X11" i="21"/>
  <c r="W11" i="21"/>
  <c r="V11" i="21"/>
  <c r="U11" i="21"/>
  <c r="AF9" i="21"/>
  <c r="AE9" i="21"/>
  <c r="AD9" i="21"/>
  <c r="AC9" i="21"/>
  <c r="AB9" i="21"/>
  <c r="AA9" i="21"/>
  <c r="Z9" i="21"/>
  <c r="Y9" i="21"/>
  <c r="X9" i="21"/>
  <c r="W9" i="21"/>
  <c r="V9" i="21"/>
  <c r="U9" i="21"/>
  <c r="AF7" i="21"/>
  <c r="AE7" i="21"/>
  <c r="AD7" i="21"/>
  <c r="AC7" i="21"/>
  <c r="AB7" i="21"/>
  <c r="AA7" i="21"/>
  <c r="Z7" i="21"/>
  <c r="Y7" i="21"/>
  <c r="X7" i="21"/>
  <c r="W7" i="21"/>
  <c r="V7" i="21"/>
  <c r="U7" i="21"/>
  <c r="AF5" i="21"/>
  <c r="AE5" i="21"/>
  <c r="AD5" i="21"/>
  <c r="AC5" i="21"/>
  <c r="AB5" i="21"/>
  <c r="AA5" i="21"/>
  <c r="Z5" i="21"/>
  <c r="Y5" i="21"/>
  <c r="X5" i="21"/>
  <c r="W5" i="21"/>
  <c r="V5" i="21"/>
  <c r="U5" i="21"/>
  <c r="V3" i="21"/>
  <c r="W3" i="21"/>
  <c r="X3" i="21"/>
  <c r="Y3" i="21"/>
  <c r="Z3" i="21"/>
  <c r="AA3" i="21"/>
  <c r="AB3" i="21"/>
  <c r="AC3" i="21"/>
  <c r="AD3" i="21"/>
  <c r="AE3" i="21"/>
  <c r="AF3" i="21"/>
  <c r="U3" i="21"/>
  <c r="T17" i="21"/>
  <c r="S17" i="21"/>
  <c r="R17" i="21"/>
  <c r="Q17" i="21"/>
  <c r="P17" i="21"/>
  <c r="O17" i="21"/>
  <c r="N17" i="21"/>
  <c r="M17" i="21"/>
  <c r="L17" i="21"/>
  <c r="K17" i="21"/>
  <c r="J17" i="21"/>
  <c r="I17" i="21"/>
  <c r="T13" i="21"/>
  <c r="S13" i="21"/>
  <c r="R13" i="21"/>
  <c r="Q13" i="21"/>
  <c r="P13" i="21"/>
  <c r="O13" i="21"/>
  <c r="N13" i="21"/>
  <c r="M13" i="21"/>
  <c r="L13" i="21"/>
  <c r="K13" i="21"/>
  <c r="J13" i="21"/>
  <c r="I13" i="21"/>
  <c r="T11" i="21"/>
  <c r="S11" i="21"/>
  <c r="R11" i="21"/>
  <c r="Q11" i="21"/>
  <c r="P11" i="21"/>
  <c r="O11" i="21"/>
  <c r="N11" i="21"/>
  <c r="M11" i="21"/>
  <c r="L11" i="21"/>
  <c r="K11" i="21"/>
  <c r="J11" i="21"/>
  <c r="I11" i="21"/>
  <c r="T9" i="21"/>
  <c r="S9" i="21"/>
  <c r="R9" i="21"/>
  <c r="Q9" i="21"/>
  <c r="P9" i="21"/>
  <c r="O9" i="21"/>
  <c r="N9" i="21"/>
  <c r="M9" i="21"/>
  <c r="L9" i="21"/>
  <c r="K9" i="21"/>
  <c r="J9" i="21"/>
  <c r="I9" i="21"/>
  <c r="T7" i="21"/>
  <c r="S7" i="21"/>
  <c r="R7" i="21"/>
  <c r="Q7" i="21"/>
  <c r="P7" i="21"/>
  <c r="O7" i="21"/>
  <c r="N7" i="21"/>
  <c r="M7" i="21"/>
  <c r="L7" i="21"/>
  <c r="K7" i="21"/>
  <c r="J7" i="21"/>
  <c r="I7" i="21"/>
  <c r="T5" i="21"/>
  <c r="S5" i="21"/>
  <c r="R5" i="21"/>
  <c r="Q5" i="21"/>
  <c r="P5" i="21"/>
  <c r="O5" i="21"/>
  <c r="N5" i="21"/>
  <c r="M5" i="21"/>
  <c r="L5" i="21"/>
  <c r="K5" i="21"/>
  <c r="J5" i="21"/>
  <c r="I5" i="21"/>
  <c r="J3" i="21"/>
  <c r="K3" i="21"/>
  <c r="L3" i="21"/>
  <c r="M3" i="21"/>
  <c r="N3" i="21"/>
  <c r="O3" i="21"/>
  <c r="P3" i="21"/>
  <c r="Q3" i="21"/>
  <c r="R3" i="21"/>
  <c r="S3" i="21"/>
  <c r="T3" i="21"/>
  <c r="I3" i="21"/>
  <c r="D1" i="24"/>
  <c r="C1" i="24"/>
  <c r="B1" i="24"/>
  <c r="I1" i="21"/>
  <c r="J1" i="21"/>
  <c r="K1" i="21"/>
  <c r="L1" i="21"/>
  <c r="M1" i="21"/>
  <c r="N1" i="21"/>
  <c r="O1" i="21"/>
  <c r="P1" i="21"/>
  <c r="Q1" i="21"/>
  <c r="R1" i="21"/>
  <c r="S1" i="21"/>
  <c r="T1" i="21"/>
  <c r="U1" i="21"/>
  <c r="V1" i="21"/>
  <c r="W1" i="21"/>
  <c r="X1" i="21"/>
  <c r="Y1" i="21"/>
  <c r="Z1" i="21"/>
  <c r="AA1" i="21"/>
  <c r="AB1" i="21"/>
  <c r="AC1" i="21"/>
  <c r="AD1" i="21"/>
  <c r="AE1" i="21"/>
  <c r="AF1" i="21"/>
  <c r="AG1" i="21"/>
  <c r="AH1" i="21"/>
  <c r="AI1" i="21"/>
  <c r="AJ1" i="21"/>
  <c r="AK1" i="21"/>
  <c r="AL1" i="21"/>
  <c r="AM1" i="21"/>
  <c r="AN1" i="21"/>
  <c r="AO1" i="21"/>
  <c r="AP1" i="21"/>
  <c r="AQ1" i="21"/>
  <c r="AR1" i="21"/>
  <c r="G1" i="23"/>
  <c r="H1" i="23"/>
  <c r="I1" i="23"/>
  <c r="J1" i="23"/>
  <c r="K1" i="23"/>
  <c r="L1" i="23"/>
  <c r="M1" i="23"/>
  <c r="N1" i="23"/>
  <c r="O1" i="23"/>
  <c r="P1" i="23"/>
  <c r="Q1" i="23"/>
  <c r="R1" i="23"/>
  <c r="S1" i="23"/>
  <c r="T1" i="23"/>
  <c r="U1" i="23"/>
  <c r="V1" i="23"/>
  <c r="W1" i="23"/>
  <c r="X1" i="23"/>
  <c r="Y1" i="23"/>
  <c r="Z1" i="23"/>
  <c r="AA1" i="23"/>
  <c r="AB1" i="23"/>
  <c r="AC1" i="23"/>
  <c r="AD1" i="23"/>
  <c r="AE1" i="23"/>
  <c r="AF1" i="23"/>
  <c r="AG1" i="23"/>
  <c r="AH1" i="23"/>
  <c r="AI1" i="23"/>
  <c r="AJ1" i="23"/>
  <c r="AK1" i="23"/>
  <c r="AL1" i="23"/>
  <c r="AM1" i="23"/>
  <c r="AN1" i="23"/>
  <c r="AO1" i="23"/>
  <c r="AP1" i="23"/>
  <c r="A10" i="36"/>
  <c r="A10" i="35"/>
  <c r="A10" i="16"/>
  <c r="C27" i="18"/>
  <c r="C13" i="18"/>
  <c r="C41" i="18"/>
  <c r="D3" i="37"/>
  <c r="D4" i="37"/>
  <c r="B34" i="16"/>
  <c r="B33" i="16"/>
  <c r="A43" i="18"/>
  <c r="A29" i="18"/>
  <c r="A15" i="18"/>
  <c r="A1" i="18"/>
  <c r="C29" i="18"/>
  <c r="C15" i="18"/>
  <c r="C1" i="18"/>
  <c r="F29" i="18"/>
  <c r="G29" i="18"/>
  <c r="H29" i="18"/>
  <c r="I29" i="18"/>
  <c r="J29" i="18"/>
  <c r="K29" i="18"/>
  <c r="L29" i="18"/>
  <c r="M29" i="18"/>
  <c r="N29" i="18"/>
  <c r="O29" i="18"/>
  <c r="P29" i="18"/>
  <c r="Q29" i="18"/>
  <c r="F15" i="18"/>
  <c r="G15" i="18"/>
  <c r="H15" i="18"/>
  <c r="I15" i="18"/>
  <c r="J15" i="18"/>
  <c r="K15" i="18"/>
  <c r="L15" i="18"/>
  <c r="M15" i="18"/>
  <c r="N15" i="18"/>
  <c r="O15" i="18"/>
  <c r="P15" i="18"/>
  <c r="Q15" i="18"/>
  <c r="F1" i="18"/>
  <c r="G1" i="18"/>
  <c r="H1" i="18"/>
  <c r="I1" i="18"/>
  <c r="J1" i="18"/>
  <c r="K1" i="18"/>
  <c r="L1" i="18"/>
  <c r="M1" i="18"/>
  <c r="N1" i="18"/>
  <c r="O1" i="18"/>
  <c r="P1" i="18"/>
  <c r="Q1" i="18"/>
  <c r="B32" i="16"/>
  <c r="S48" i="23"/>
  <c r="T48" i="23"/>
  <c r="U48" i="23"/>
  <c r="V48" i="23"/>
  <c r="W48" i="23"/>
  <c r="X48" i="23"/>
  <c r="Y48" i="23"/>
  <c r="Z48" i="23"/>
  <c r="AA48" i="23"/>
  <c r="AB48" i="23"/>
  <c r="AC48" i="23"/>
  <c r="AD48" i="23"/>
  <c r="AE48" i="23"/>
  <c r="AF48" i="23"/>
  <c r="AG48" i="23"/>
  <c r="AH48" i="23"/>
  <c r="AI48" i="23"/>
  <c r="AJ48" i="23"/>
  <c r="AK48" i="23"/>
  <c r="AL48" i="23"/>
  <c r="AM48" i="23"/>
  <c r="AN48" i="23"/>
  <c r="AO48" i="23"/>
  <c r="AP48" i="23"/>
  <c r="S49" i="23"/>
  <c r="T49" i="23"/>
  <c r="U49" i="23"/>
  <c r="V49" i="23"/>
  <c r="W49" i="23"/>
  <c r="X49" i="23"/>
  <c r="Y49" i="23"/>
  <c r="Z49" i="23"/>
  <c r="AA49" i="23"/>
  <c r="AB49" i="23"/>
  <c r="AC49" i="23"/>
  <c r="AD49" i="23"/>
  <c r="AE49" i="23"/>
  <c r="AF49" i="23"/>
  <c r="AG49" i="23"/>
  <c r="AH49" i="23"/>
  <c r="AI49" i="23"/>
  <c r="AJ49" i="23"/>
  <c r="AK49" i="23"/>
  <c r="AL49" i="23"/>
  <c r="AM49" i="23"/>
  <c r="AN49" i="23"/>
  <c r="AO49" i="23"/>
  <c r="AP49" i="23"/>
  <c r="G17" i="21"/>
  <c r="G13" i="21"/>
  <c r="G11" i="21"/>
  <c r="G9" i="21"/>
  <c r="G7" i="21"/>
  <c r="G5" i="21"/>
  <c r="B34" i="36"/>
  <c r="B33" i="36"/>
  <c r="B34" i="35"/>
  <c r="B33" i="35"/>
  <c r="B37" i="16"/>
  <c r="B32" i="36"/>
  <c r="B32" i="35"/>
  <c r="G47" i="23"/>
  <c r="AP42" i="23"/>
  <c r="AP43" i="23"/>
  <c r="S42" i="23"/>
  <c r="T42" i="23"/>
  <c r="U42" i="23"/>
  <c r="V42" i="23"/>
  <c r="W42" i="23"/>
  <c r="X42" i="23"/>
  <c r="Y42" i="23"/>
  <c r="Z42" i="23"/>
  <c r="AA42" i="23"/>
  <c r="AB42" i="23"/>
  <c r="AC42" i="23"/>
  <c r="AD42" i="23"/>
  <c r="AE42" i="23"/>
  <c r="AF42" i="23"/>
  <c r="AG42" i="23"/>
  <c r="AH42" i="23"/>
  <c r="AI42" i="23"/>
  <c r="AJ42" i="23"/>
  <c r="AK42" i="23"/>
  <c r="AL42" i="23"/>
  <c r="AM42" i="23"/>
  <c r="AN42" i="23"/>
  <c r="AO42" i="23"/>
  <c r="S43" i="23"/>
  <c r="T43" i="23"/>
  <c r="U43" i="23"/>
  <c r="V43" i="23"/>
  <c r="W43" i="23"/>
  <c r="X43" i="23"/>
  <c r="Y43" i="23"/>
  <c r="Z43" i="23"/>
  <c r="AA43" i="23"/>
  <c r="AB43" i="23"/>
  <c r="AC43" i="23"/>
  <c r="AD43" i="23"/>
  <c r="AE43" i="23"/>
  <c r="AF43" i="23"/>
  <c r="AG43" i="23"/>
  <c r="AH43" i="23"/>
  <c r="AI43" i="23"/>
  <c r="AJ43" i="23"/>
  <c r="AK43" i="23"/>
  <c r="AL43" i="23"/>
  <c r="AM43" i="23"/>
  <c r="AN43" i="23"/>
  <c r="AO43" i="23"/>
  <c r="S26" i="23"/>
  <c r="T26" i="23"/>
  <c r="U26" i="23"/>
  <c r="V26" i="23"/>
  <c r="W26" i="23"/>
  <c r="X26" i="23"/>
  <c r="Y26" i="23"/>
  <c r="Z26" i="23"/>
  <c r="AA26" i="23"/>
  <c r="AB26" i="23"/>
  <c r="AC26" i="23"/>
  <c r="AD26" i="23"/>
  <c r="AE26" i="23"/>
  <c r="AF26" i="23"/>
  <c r="AG26" i="23"/>
  <c r="AH26" i="23"/>
  <c r="AI26" i="23"/>
  <c r="AJ26" i="23"/>
  <c r="AK26" i="23"/>
  <c r="AL26" i="23"/>
  <c r="AM26" i="23"/>
  <c r="AN26" i="23"/>
  <c r="AO26" i="23"/>
  <c r="AP26"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S4" i="23"/>
  <c r="S2" i="23"/>
  <c r="T4" i="23"/>
  <c r="T2" i="23"/>
  <c r="U4" i="23"/>
  <c r="V4" i="23"/>
  <c r="W4" i="23"/>
  <c r="W2" i="23"/>
  <c r="X4" i="23"/>
  <c r="X2" i="23"/>
  <c r="Y4" i="23"/>
  <c r="Z4" i="23"/>
  <c r="AA4" i="23"/>
  <c r="AA2" i="23"/>
  <c r="AB4" i="23"/>
  <c r="AB2" i="23"/>
  <c r="AC4" i="23"/>
  <c r="AD4" i="23"/>
  <c r="AE4" i="23"/>
  <c r="AE2" i="23"/>
  <c r="AF4" i="23"/>
  <c r="AF2" i="23"/>
  <c r="AG4" i="23"/>
  <c r="AH4" i="23"/>
  <c r="AI4" i="23"/>
  <c r="AI2" i="23"/>
  <c r="AJ4" i="23"/>
  <c r="AJ2" i="23"/>
  <c r="AK4" i="23"/>
  <c r="AL4" i="23"/>
  <c r="AM4" i="23"/>
  <c r="AM2" i="23"/>
  <c r="AN4" i="23"/>
  <c r="AN2" i="23"/>
  <c r="AO4" i="23"/>
  <c r="AP4" i="23"/>
  <c r="AP2" i="23"/>
  <c r="S5" i="23"/>
  <c r="T5" i="23"/>
  <c r="T3" i="23"/>
  <c r="U5" i="23"/>
  <c r="U3" i="23"/>
  <c r="V5" i="23"/>
  <c r="W5" i="23"/>
  <c r="X5" i="23"/>
  <c r="X3" i="23"/>
  <c r="Y5" i="23"/>
  <c r="Y3" i="23"/>
  <c r="Z5" i="23"/>
  <c r="AA5" i="23"/>
  <c r="AB5" i="23"/>
  <c r="AB3" i="23"/>
  <c r="AC5" i="23"/>
  <c r="AC3" i="23"/>
  <c r="AD5" i="23"/>
  <c r="AE5" i="23"/>
  <c r="AF5" i="23"/>
  <c r="AF3" i="23"/>
  <c r="AG5" i="23"/>
  <c r="AG3" i="23"/>
  <c r="AH5" i="23"/>
  <c r="AI5" i="23"/>
  <c r="AJ5" i="23"/>
  <c r="AJ3" i="23"/>
  <c r="AK5" i="23"/>
  <c r="AK3" i="23"/>
  <c r="AL5" i="23"/>
  <c r="AM5" i="23"/>
  <c r="AN5" i="23"/>
  <c r="AN3" i="23"/>
  <c r="AO5" i="23"/>
  <c r="AO3" i="23"/>
  <c r="AP5" i="23"/>
  <c r="AP3" i="23"/>
  <c r="AM3" i="23"/>
  <c r="AE3" i="23"/>
  <c r="W3" i="23"/>
  <c r="AL3" i="23"/>
  <c r="AH3" i="23"/>
  <c r="AD3" i="23"/>
  <c r="Z3" i="23"/>
  <c r="V3" i="23"/>
  <c r="AL2" i="23"/>
  <c r="AH2" i="23"/>
  <c r="AD2" i="23"/>
  <c r="Z2" i="23"/>
  <c r="V2" i="23"/>
  <c r="AI3" i="23"/>
  <c r="AA3" i="23"/>
  <c r="S3" i="23"/>
  <c r="AO2" i="23"/>
  <c r="AK2" i="23"/>
  <c r="AG2" i="23"/>
  <c r="AC2" i="23"/>
  <c r="Y2" i="23"/>
  <c r="U2" i="23"/>
  <c r="B37" i="35"/>
  <c r="B37" i="36"/>
  <c r="D25" i="36"/>
  <c r="D24" i="36"/>
  <c r="D25" i="35"/>
  <c r="D24" i="35"/>
  <c r="D23" i="36"/>
  <c r="D23" i="35"/>
  <c r="B25" i="36"/>
  <c r="B24" i="36"/>
  <c r="B23" i="36"/>
  <c r="B25" i="35"/>
  <c r="B24" i="35"/>
  <c r="B23" i="35"/>
  <c r="D21" i="36"/>
  <c r="D21" i="35"/>
  <c r="B21" i="36"/>
  <c r="B21" i="35"/>
  <c r="B20" i="36"/>
  <c r="B20" i="35"/>
  <c r="B14" i="36"/>
  <c r="B14" i="35"/>
  <c r="B13" i="36"/>
  <c r="B13" i="35"/>
  <c r="C36" i="14"/>
  <c r="D12" i="14"/>
  <c r="D13" i="14"/>
  <c r="C13" i="14"/>
  <c r="C12" i="14"/>
  <c r="D15" i="36"/>
  <c r="C15" i="36"/>
  <c r="E14" i="36"/>
  <c r="E13" i="36"/>
  <c r="B8" i="36"/>
  <c r="B7" i="36"/>
  <c r="B6" i="36"/>
  <c r="B5" i="36"/>
  <c r="B4" i="36"/>
  <c r="B3" i="36"/>
  <c r="B2" i="36"/>
  <c r="E14" i="35"/>
  <c r="E13" i="35"/>
  <c r="B8" i="35"/>
  <c r="B7" i="35"/>
  <c r="B6" i="35"/>
  <c r="B5" i="35"/>
  <c r="B4" i="35"/>
  <c r="B3" i="35"/>
  <c r="B2" i="35"/>
  <c r="B14" i="16"/>
  <c r="B13" i="16"/>
  <c r="B25" i="16"/>
  <c r="B24" i="16"/>
  <c r="B23" i="16"/>
  <c r="B21" i="16"/>
  <c r="B20" i="16"/>
  <c r="B13" i="14"/>
  <c r="E15" i="35"/>
  <c r="F14" i="36"/>
  <c r="B19" i="35"/>
  <c r="B19" i="16"/>
  <c r="E15" i="36"/>
  <c r="F14" i="35"/>
  <c r="B20" i="14"/>
  <c r="B36" i="14"/>
  <c r="B23" i="14"/>
  <c r="B12" i="14"/>
  <c r="E12" i="14"/>
  <c r="E13" i="14"/>
  <c r="B19" i="14"/>
  <c r="B19" i="36"/>
  <c r="B22" i="14"/>
  <c r="B24" i="14"/>
  <c r="B22" i="35"/>
  <c r="D22" i="35"/>
  <c r="D22" i="36"/>
  <c r="B22" i="36"/>
  <c r="F13" i="36"/>
  <c r="F13" i="35"/>
  <c r="B22" i="16"/>
  <c r="I25" i="21"/>
  <c r="J25" i="21"/>
  <c r="K25" i="21"/>
  <c r="L25" i="21"/>
  <c r="I26" i="21"/>
  <c r="J26" i="21"/>
  <c r="K26" i="21"/>
  <c r="L26" i="21"/>
  <c r="I27" i="21"/>
  <c r="J27" i="21"/>
  <c r="K27" i="21"/>
  <c r="L27" i="21"/>
  <c r="I29" i="21"/>
  <c r="J29" i="21"/>
  <c r="K29" i="21"/>
  <c r="L29"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N27" i="21"/>
  <c r="O27" i="21"/>
  <c r="P27" i="21"/>
  <c r="Q27" i="21"/>
  <c r="R27" i="21"/>
  <c r="S27" i="21"/>
  <c r="T27" i="21"/>
  <c r="U27" i="21"/>
  <c r="V27" i="21"/>
  <c r="W27" i="21"/>
  <c r="X27" i="21"/>
  <c r="Y27" i="21"/>
  <c r="Z27" i="21"/>
  <c r="AA27" i="21"/>
  <c r="AB27" i="21"/>
  <c r="AC27" i="21"/>
  <c r="AD27" i="21"/>
  <c r="AE27" i="21"/>
  <c r="AF27" i="21"/>
  <c r="AG27" i="21"/>
  <c r="AH27" i="21"/>
  <c r="AI27" i="21"/>
  <c r="AJ27" i="21"/>
  <c r="AK27" i="21"/>
  <c r="AL27" i="21"/>
  <c r="AM27" i="21"/>
  <c r="AN27" i="21"/>
  <c r="AO27" i="21"/>
  <c r="AP27" i="21"/>
  <c r="AQ27" i="21"/>
  <c r="AR27" i="21"/>
  <c r="N29" i="21"/>
  <c r="O29" i="21"/>
  <c r="P29" i="21"/>
  <c r="Q29" i="21"/>
  <c r="R29" i="21"/>
  <c r="S29" i="21"/>
  <c r="T29" i="21"/>
  <c r="U29" i="21"/>
  <c r="V29" i="21"/>
  <c r="W29" i="21"/>
  <c r="X29" i="21"/>
  <c r="Y29" i="21"/>
  <c r="Z29" i="21"/>
  <c r="AA29" i="21"/>
  <c r="AB29" i="21"/>
  <c r="AC29" i="21"/>
  <c r="AD29" i="21"/>
  <c r="AE29" i="21"/>
  <c r="AF29" i="21"/>
  <c r="AG29" i="21"/>
  <c r="AH29" i="21"/>
  <c r="AI29" i="21"/>
  <c r="AJ29" i="21"/>
  <c r="AK29" i="21"/>
  <c r="AL29" i="21"/>
  <c r="AM29" i="21"/>
  <c r="AN29" i="21"/>
  <c r="AO29" i="21"/>
  <c r="AP29" i="21"/>
  <c r="AQ29" i="21"/>
  <c r="AR29" i="21"/>
  <c r="M29" i="21"/>
  <c r="M27" i="21"/>
  <c r="M26" i="21"/>
  <c r="M25" i="21"/>
  <c r="B26" i="16"/>
  <c r="B28" i="16"/>
  <c r="B26" i="35"/>
  <c r="B28" i="35"/>
  <c r="M21" i="21"/>
  <c r="AO22" i="21"/>
  <c r="AK22" i="21"/>
  <c r="AC22" i="21"/>
  <c r="Y22" i="21"/>
  <c r="Q22" i="21"/>
  <c r="AR21" i="21"/>
  <c r="AN21" i="21"/>
  <c r="AJ21" i="21"/>
  <c r="AF21" i="21"/>
  <c r="AB21" i="21"/>
  <c r="X21" i="21"/>
  <c r="T21" i="21"/>
  <c r="P21" i="21"/>
  <c r="AQ22" i="21"/>
  <c r="AM22" i="21"/>
  <c r="AI22" i="21"/>
  <c r="AE22" i="21"/>
  <c r="AA22" i="21"/>
  <c r="W22" i="21"/>
  <c r="S22" i="21"/>
  <c r="O22" i="21"/>
  <c r="AG22" i="21"/>
  <c r="D34" i="36"/>
  <c r="U22" i="21"/>
  <c r="D34" i="35"/>
  <c r="AP21" i="21"/>
  <c r="AL21" i="21"/>
  <c r="AH21" i="21"/>
  <c r="AD21" i="21"/>
  <c r="Z21" i="21"/>
  <c r="V21" i="21"/>
  <c r="R21" i="21"/>
  <c r="N21" i="21"/>
  <c r="D34" i="16"/>
  <c r="I22" i="21"/>
  <c r="D33" i="16"/>
  <c r="I21" i="21"/>
  <c r="D33" i="36"/>
  <c r="D33" i="35"/>
  <c r="B18" i="14"/>
  <c r="B26" i="36"/>
  <c r="B28" i="36"/>
  <c r="B21" i="14"/>
  <c r="J22" i="21"/>
  <c r="J21" i="21"/>
  <c r="L21" i="21"/>
  <c r="AP22" i="21"/>
  <c r="AL22" i="21"/>
  <c r="AH22" i="21"/>
  <c r="AD22" i="21"/>
  <c r="Z22" i="21"/>
  <c r="V22" i="21"/>
  <c r="R22" i="21"/>
  <c r="N22" i="21"/>
  <c r="AO21" i="21"/>
  <c r="AK21" i="21"/>
  <c r="AG21" i="21"/>
  <c r="AC21" i="21"/>
  <c r="Y21" i="21"/>
  <c r="U21" i="21"/>
  <c r="Q21" i="21"/>
  <c r="AR22" i="21"/>
  <c r="AN22" i="21"/>
  <c r="AJ22" i="21"/>
  <c r="AF22" i="21"/>
  <c r="AB22" i="21"/>
  <c r="X22" i="21"/>
  <c r="T22" i="21"/>
  <c r="P22" i="21"/>
  <c r="AQ21" i="21"/>
  <c r="AM21" i="21"/>
  <c r="AI21" i="21"/>
  <c r="AE21" i="21"/>
  <c r="AA21" i="21"/>
  <c r="W21" i="21"/>
  <c r="S21" i="21"/>
  <c r="O21" i="21"/>
  <c r="L22" i="21"/>
  <c r="K22" i="21"/>
  <c r="K21" i="21"/>
  <c r="E14" i="16"/>
  <c r="E6" i="24"/>
  <c r="D17" i="35"/>
  <c r="D17" i="36"/>
  <c r="D32" i="36"/>
  <c r="D33" i="14"/>
  <c r="D32" i="14"/>
  <c r="D32" i="35"/>
  <c r="B25" i="14"/>
  <c r="D19" i="36"/>
  <c r="D19" i="35"/>
  <c r="AR16" i="21"/>
  <c r="AR12" i="21"/>
  <c r="AR10" i="21"/>
  <c r="AR8" i="21"/>
  <c r="AR6" i="21"/>
  <c r="AR4" i="21"/>
  <c r="AR2" i="21"/>
  <c r="B8" i="16"/>
  <c r="B5" i="16"/>
  <c r="B6" i="16"/>
  <c r="B7" i="16"/>
  <c r="H47" i="23"/>
  <c r="D26" i="35"/>
  <c r="D26" i="36"/>
  <c r="D30" i="36"/>
  <c r="D28" i="36"/>
  <c r="D30" i="35"/>
  <c r="D28" i="35"/>
  <c r="I47" i="23"/>
  <c r="F12" i="22"/>
  <c r="C12" i="22"/>
  <c r="F11" i="22"/>
  <c r="D11" i="22"/>
  <c r="C11" i="22"/>
  <c r="F9" i="22"/>
  <c r="C9" i="22"/>
  <c r="F8" i="22"/>
  <c r="D8" i="22"/>
  <c r="C8" i="22"/>
  <c r="D12" i="22"/>
  <c r="J2" i="21"/>
  <c r="G3" i="21"/>
  <c r="J47" i="23"/>
  <c r="D9" i="22"/>
  <c r="AQ2" i="21"/>
  <c r="AP2" i="21"/>
  <c r="AO2" i="21"/>
  <c r="AN2" i="21"/>
  <c r="AM2" i="21"/>
  <c r="AL2" i="21"/>
  <c r="AK2" i="21"/>
  <c r="AJ2" i="21"/>
  <c r="AI2" i="21"/>
  <c r="AH2" i="21"/>
  <c r="AG2" i="21"/>
  <c r="AF2" i="21"/>
  <c r="AE2" i="21"/>
  <c r="AD2" i="21"/>
  <c r="AC2" i="21"/>
  <c r="AB2" i="21"/>
  <c r="AA2" i="21"/>
  <c r="Z2" i="21"/>
  <c r="Y2" i="21"/>
  <c r="X2" i="21"/>
  <c r="W2" i="21"/>
  <c r="V2" i="21"/>
  <c r="U2" i="21"/>
  <c r="T2" i="21"/>
  <c r="S2" i="21"/>
  <c r="R2" i="21"/>
  <c r="Q2" i="21"/>
  <c r="P2" i="21"/>
  <c r="O2" i="21"/>
  <c r="N2" i="21"/>
  <c r="M2" i="21"/>
  <c r="L2" i="21"/>
  <c r="K2" i="21"/>
  <c r="I2" i="21"/>
  <c r="AQ4" i="21"/>
  <c r="AP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K4" i="21"/>
  <c r="J4" i="21"/>
  <c r="I4" i="21"/>
  <c r="AQ6" i="21"/>
  <c r="AP6" i="21"/>
  <c r="AO6" i="21"/>
  <c r="AN6" i="21"/>
  <c r="AM6" i="21"/>
  <c r="AL6" i="21"/>
  <c r="AK6" i="21"/>
  <c r="AJ6" i="21"/>
  <c r="AI6" i="21"/>
  <c r="AH6" i="21"/>
  <c r="AG6" i="21"/>
  <c r="AF6" i="21"/>
  <c r="AE6" i="21"/>
  <c r="AD6" i="21"/>
  <c r="AC6" i="21"/>
  <c r="AB6" i="21"/>
  <c r="AA6" i="21"/>
  <c r="Z6" i="21"/>
  <c r="Y6" i="21"/>
  <c r="X6" i="21"/>
  <c r="W6" i="21"/>
  <c r="V6" i="21"/>
  <c r="U6" i="21"/>
  <c r="T6" i="21"/>
  <c r="S6" i="21"/>
  <c r="R6" i="21"/>
  <c r="Q6" i="21"/>
  <c r="P6" i="21"/>
  <c r="O6" i="21"/>
  <c r="N6" i="21"/>
  <c r="M6" i="21"/>
  <c r="L6" i="21"/>
  <c r="K6" i="21"/>
  <c r="J6" i="21"/>
  <c r="I6" i="21"/>
  <c r="AQ8" i="21"/>
  <c r="AP8" i="21"/>
  <c r="AO8" i="21"/>
  <c r="AN8" i="21"/>
  <c r="AM8" i="21"/>
  <c r="AL8" i="21"/>
  <c r="AK8" i="21"/>
  <c r="AJ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AQ10" i="21"/>
  <c r="AP10" i="21"/>
  <c r="AO10" i="21"/>
  <c r="AN10" i="21"/>
  <c r="AM10" i="21"/>
  <c r="AL10" i="21"/>
  <c r="AK10" i="21"/>
  <c r="AJ10"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AQ12" i="21"/>
  <c r="AP12" i="21"/>
  <c r="AO12" i="21"/>
  <c r="AN12" i="21"/>
  <c r="AM12" i="21"/>
  <c r="AL12" i="21"/>
  <c r="AK12" i="21"/>
  <c r="AJ12" i="21"/>
  <c r="AI12"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M3" i="28"/>
  <c r="N3" i="28"/>
  <c r="O3" i="28"/>
  <c r="P3" i="28"/>
  <c r="Q3" i="28"/>
  <c r="R3" i="28"/>
  <c r="S3" i="28"/>
  <c r="T3" i="28"/>
  <c r="U3" i="28"/>
  <c r="V3" i="28"/>
  <c r="W3" i="28"/>
  <c r="X3" i="28"/>
  <c r="Y3" i="28"/>
  <c r="Z3" i="28"/>
  <c r="AA3" i="28"/>
  <c r="AB3" i="28"/>
  <c r="AC3" i="28"/>
  <c r="AD3" i="28"/>
  <c r="AE3" i="28"/>
  <c r="AF3" i="28"/>
  <c r="AG3" i="28"/>
  <c r="AH3" i="28"/>
  <c r="AI3" i="28"/>
  <c r="AJ3" i="28"/>
  <c r="AK3" i="28"/>
  <c r="K47" i="23"/>
  <c r="G2" i="21"/>
  <c r="G10" i="21"/>
  <c r="G16" i="21"/>
  <c r="G6" i="21"/>
  <c r="G8" i="21"/>
  <c r="G12" i="21"/>
  <c r="G4" i="21"/>
  <c r="E12" i="22"/>
  <c r="E11" i="22"/>
  <c r="E9" i="22"/>
  <c r="E8" i="22"/>
  <c r="C15" i="16"/>
  <c r="D15" i="16"/>
  <c r="E13" i="16"/>
  <c r="E15" i="16"/>
  <c r="E35" i="24"/>
  <c r="E36" i="24"/>
  <c r="E34" i="24"/>
  <c r="C37" i="24"/>
  <c r="D37" i="24"/>
  <c r="E29" i="24"/>
  <c r="B33" i="14"/>
  <c r="B27" i="14"/>
  <c r="E28" i="24"/>
  <c r="B32" i="14"/>
  <c r="C31" i="24"/>
  <c r="D31" i="24"/>
  <c r="B25" i="24"/>
  <c r="C25" i="24"/>
  <c r="C38" i="24"/>
  <c r="D25" i="24"/>
  <c r="D38" i="24"/>
  <c r="E24" i="24"/>
  <c r="E23" i="24"/>
  <c r="E22" i="24"/>
  <c r="E21" i="24"/>
  <c r="B15" i="24"/>
  <c r="C15" i="24"/>
  <c r="D15" i="24"/>
  <c r="E14" i="24"/>
  <c r="E13" i="24"/>
  <c r="B11" i="24"/>
  <c r="C11" i="24"/>
  <c r="D11" i="24"/>
  <c r="E7" i="24"/>
  <c r="E8" i="24"/>
  <c r="E9" i="24"/>
  <c r="E10" i="24"/>
  <c r="B31" i="24"/>
  <c r="B37" i="24"/>
  <c r="F13" i="22"/>
  <c r="F10" i="22"/>
  <c r="E53" i="23"/>
  <c r="E51" i="23"/>
  <c r="E45" i="23"/>
  <c r="E43" i="23"/>
  <c r="E44" i="23"/>
  <c r="E41" i="23"/>
  <c r="E37" i="23"/>
  <c r="E40" i="23"/>
  <c r="E35" i="23"/>
  <c r="E34" i="23"/>
  <c r="E33" i="23"/>
  <c r="E32" i="23"/>
  <c r="E31" i="23"/>
  <c r="E30" i="23"/>
  <c r="E28" i="23"/>
  <c r="E29" i="23"/>
  <c r="E25" i="23"/>
  <c r="E24" i="23"/>
  <c r="E23" i="23"/>
  <c r="E22" i="23"/>
  <c r="E21" i="23"/>
  <c r="E20" i="23"/>
  <c r="D20" i="23"/>
  <c r="E19" i="23"/>
  <c r="E18" i="23"/>
  <c r="E17" i="23"/>
  <c r="E16" i="23"/>
  <c r="E15" i="23"/>
  <c r="E14" i="23"/>
  <c r="E13" i="23"/>
  <c r="E12" i="23"/>
  <c r="E11" i="23"/>
  <c r="E10" i="23"/>
  <c r="E9" i="23"/>
  <c r="E8" i="23"/>
  <c r="E6" i="23"/>
  <c r="E7" i="23"/>
  <c r="Q38" i="18"/>
  <c r="P38" i="18"/>
  <c r="O38" i="18"/>
  <c r="N38" i="18"/>
  <c r="M38" i="18"/>
  <c r="L38" i="18"/>
  <c r="K38" i="18"/>
  <c r="J38" i="18"/>
  <c r="I38" i="18"/>
  <c r="H38" i="18"/>
  <c r="G38" i="18"/>
  <c r="C37" i="18"/>
  <c r="C36" i="18"/>
  <c r="C35" i="18"/>
  <c r="C24" i="36"/>
  <c r="E24" i="36"/>
  <c r="F24" i="36"/>
  <c r="C34" i="18"/>
  <c r="C23" i="36"/>
  <c r="C33" i="18"/>
  <c r="C32" i="18"/>
  <c r="C21" i="36"/>
  <c r="E21" i="36"/>
  <c r="F21" i="36"/>
  <c r="C31" i="18"/>
  <c r="C20" i="36"/>
  <c r="J24" i="18"/>
  <c r="C24" i="35"/>
  <c r="E24" i="35"/>
  <c r="F24" i="35"/>
  <c r="P24" i="18"/>
  <c r="C21" i="35"/>
  <c r="E21" i="35"/>
  <c r="F21" i="35"/>
  <c r="Q24" i="18"/>
  <c r="O24" i="18"/>
  <c r="N24" i="18"/>
  <c r="L24" i="18"/>
  <c r="H24" i="18"/>
  <c r="G24" i="18"/>
  <c r="G10" i="18"/>
  <c r="F10" i="18"/>
  <c r="C24" i="16"/>
  <c r="C23" i="16"/>
  <c r="C21" i="16"/>
  <c r="Q10" i="18"/>
  <c r="P10" i="18"/>
  <c r="O10" i="18"/>
  <c r="N10" i="18"/>
  <c r="M10" i="18"/>
  <c r="L10" i="18"/>
  <c r="K10" i="18"/>
  <c r="J10" i="18"/>
  <c r="I10" i="18"/>
  <c r="L47" i="23"/>
  <c r="C23" i="14"/>
  <c r="B31" i="14"/>
  <c r="D16" i="24"/>
  <c r="C16" i="24"/>
  <c r="C25" i="16"/>
  <c r="C22" i="16"/>
  <c r="C20" i="14"/>
  <c r="E23" i="36"/>
  <c r="C25" i="35"/>
  <c r="E25" i="35"/>
  <c r="F25" i="35"/>
  <c r="C25" i="36"/>
  <c r="E25" i="36"/>
  <c r="F25" i="36"/>
  <c r="C19" i="36"/>
  <c r="E19" i="36"/>
  <c r="E20" i="36"/>
  <c r="F20" i="36"/>
  <c r="D30" i="23"/>
  <c r="E27" i="23"/>
  <c r="E4" i="23"/>
  <c r="D32" i="23"/>
  <c r="D10" i="23"/>
  <c r="D14" i="23"/>
  <c r="D18" i="23"/>
  <c r="D22" i="23"/>
  <c r="D40" i="23"/>
  <c r="E36" i="23"/>
  <c r="D6" i="23"/>
  <c r="E26" i="23"/>
  <c r="D44" i="23"/>
  <c r="E42" i="23"/>
  <c r="E49" i="23"/>
  <c r="D8" i="23"/>
  <c r="D12" i="23"/>
  <c r="D16" i="23"/>
  <c r="D24" i="23"/>
  <c r="F12" i="14"/>
  <c r="C14" i="14"/>
  <c r="B14" i="14"/>
  <c r="F13" i="14"/>
  <c r="D14" i="14"/>
  <c r="E10" i="22"/>
  <c r="E13" i="22"/>
  <c r="F14" i="22"/>
  <c r="D28" i="23"/>
  <c r="D34" i="23"/>
  <c r="E18" i="22"/>
  <c r="E22" i="22"/>
  <c r="B16" i="24"/>
  <c r="C39" i="24"/>
  <c r="D39" i="24"/>
  <c r="B38" i="24"/>
  <c r="F18" i="22"/>
  <c r="F22" i="22"/>
  <c r="E5" i="23"/>
  <c r="C50" i="18"/>
  <c r="C20" i="16"/>
  <c r="K24" i="18"/>
  <c r="I24" i="18"/>
  <c r="M24" i="18"/>
  <c r="C20" i="35"/>
  <c r="C23" i="35"/>
  <c r="C22" i="14"/>
  <c r="F24" i="18"/>
  <c r="C51" i="18"/>
  <c r="C10" i="18"/>
  <c r="C38" i="18"/>
  <c r="C46" i="18"/>
  <c r="F38" i="18"/>
  <c r="C47" i="18"/>
  <c r="H10" i="18"/>
  <c r="C49" i="18"/>
  <c r="B29" i="14"/>
  <c r="B16" i="14"/>
  <c r="M47" i="23"/>
  <c r="C24" i="14"/>
  <c r="C21" i="14"/>
  <c r="B15" i="36"/>
  <c r="B17" i="36"/>
  <c r="C22" i="35"/>
  <c r="E23" i="35"/>
  <c r="C19" i="35"/>
  <c r="E19" i="35"/>
  <c r="E20" i="35"/>
  <c r="F20" i="35"/>
  <c r="C19" i="14"/>
  <c r="C19" i="16"/>
  <c r="E20" i="16"/>
  <c r="F20" i="16"/>
  <c r="F23" i="36"/>
  <c r="E22" i="36"/>
  <c r="F22" i="36"/>
  <c r="C22" i="36"/>
  <c r="C26" i="36"/>
  <c r="F19" i="36"/>
  <c r="E14" i="14"/>
  <c r="D4" i="23"/>
  <c r="D26" i="23"/>
  <c r="E14" i="22"/>
  <c r="E15" i="22"/>
  <c r="C45" i="18"/>
  <c r="F15" i="22"/>
  <c r="B39" i="24"/>
  <c r="E3" i="23"/>
  <c r="C24" i="18"/>
  <c r="C48" i="18"/>
  <c r="C30" i="36"/>
  <c r="C28" i="36"/>
  <c r="F14" i="14"/>
  <c r="N47" i="23"/>
  <c r="B15" i="16"/>
  <c r="B15" i="35"/>
  <c r="F15" i="36"/>
  <c r="B30" i="36"/>
  <c r="C52" i="18"/>
  <c r="E26" i="36"/>
  <c r="F23" i="35"/>
  <c r="E22" i="35"/>
  <c r="F22" i="35"/>
  <c r="C18" i="14"/>
  <c r="C25" i="14"/>
  <c r="E19" i="14"/>
  <c r="F19" i="14"/>
  <c r="C26" i="35"/>
  <c r="F19" i="35"/>
  <c r="H49" i="23"/>
  <c r="I49" i="23"/>
  <c r="J49" i="23"/>
  <c r="K49" i="23"/>
  <c r="L49" i="23"/>
  <c r="M49" i="23"/>
  <c r="N49" i="23"/>
  <c r="O49" i="23"/>
  <c r="P49" i="23"/>
  <c r="Q49" i="23"/>
  <c r="R49" i="23"/>
  <c r="G49" i="23"/>
  <c r="G48" i="23"/>
  <c r="H42" i="23"/>
  <c r="I42" i="23"/>
  <c r="J42" i="23"/>
  <c r="K42" i="23"/>
  <c r="L42" i="23"/>
  <c r="M42" i="23"/>
  <c r="N42" i="23"/>
  <c r="O42" i="23"/>
  <c r="P42" i="23"/>
  <c r="Q42" i="23"/>
  <c r="R42" i="23"/>
  <c r="H43" i="23"/>
  <c r="I43" i="23"/>
  <c r="J43" i="23"/>
  <c r="K43" i="23"/>
  <c r="L43" i="23"/>
  <c r="M43" i="23"/>
  <c r="N43" i="23"/>
  <c r="O43" i="23"/>
  <c r="P43" i="23"/>
  <c r="Q43" i="23"/>
  <c r="R43" i="23"/>
  <c r="G43" i="23"/>
  <c r="G42" i="23"/>
  <c r="H26" i="23"/>
  <c r="I26" i="23"/>
  <c r="J26" i="23"/>
  <c r="K26" i="23"/>
  <c r="L26" i="23"/>
  <c r="M26" i="23"/>
  <c r="N26" i="23"/>
  <c r="O26" i="23"/>
  <c r="P26" i="23"/>
  <c r="Q26" i="23"/>
  <c r="R26" i="23"/>
  <c r="H27" i="23"/>
  <c r="I27" i="23"/>
  <c r="J27" i="23"/>
  <c r="K27" i="23"/>
  <c r="L27" i="23"/>
  <c r="M27" i="23"/>
  <c r="N27" i="23"/>
  <c r="O27" i="23"/>
  <c r="P27" i="23"/>
  <c r="Q27" i="23"/>
  <c r="R27" i="23"/>
  <c r="G27" i="23"/>
  <c r="G26" i="23"/>
  <c r="R4" i="23"/>
  <c r="R5" i="23"/>
  <c r="N4" i="23"/>
  <c r="O4" i="23"/>
  <c r="O2" i="23"/>
  <c r="P4" i="23"/>
  <c r="P2" i="23"/>
  <c r="Q4" i="23"/>
  <c r="Q2" i="23"/>
  <c r="H4" i="23"/>
  <c r="I4" i="23"/>
  <c r="J4" i="23"/>
  <c r="K4" i="23"/>
  <c r="L4" i="23"/>
  <c r="M4" i="23"/>
  <c r="G4" i="23"/>
  <c r="I5" i="23"/>
  <c r="J5" i="23"/>
  <c r="K5" i="23"/>
  <c r="L5" i="23"/>
  <c r="M5" i="23"/>
  <c r="N5" i="23"/>
  <c r="O5" i="23"/>
  <c r="P5" i="23"/>
  <c r="Q5" i="23"/>
  <c r="H5" i="23"/>
  <c r="G5" i="23"/>
  <c r="F26" i="36"/>
  <c r="C30" i="35"/>
  <c r="C28" i="35"/>
  <c r="B17" i="35"/>
  <c r="B30" i="35"/>
  <c r="B30" i="16"/>
  <c r="B17" i="16"/>
  <c r="C29" i="14"/>
  <c r="O47" i="23"/>
  <c r="F15" i="35"/>
  <c r="E30" i="36"/>
  <c r="E26" i="35"/>
  <c r="D24" i="16"/>
  <c r="D23" i="14"/>
  <c r="E23" i="14"/>
  <c r="F23" i="14"/>
  <c r="D23" i="16"/>
  <c r="E23" i="16"/>
  <c r="D25" i="16"/>
  <c r="P3" i="23"/>
  <c r="L3" i="23"/>
  <c r="E52" i="23"/>
  <c r="D52" i="23"/>
  <c r="J3" i="23"/>
  <c r="R3" i="23"/>
  <c r="R2" i="23"/>
  <c r="N2" i="23"/>
  <c r="J2" i="23"/>
  <c r="O3" i="23"/>
  <c r="K3" i="23"/>
  <c r="H3" i="23"/>
  <c r="Q3" i="23"/>
  <c r="M3" i="23"/>
  <c r="I3" i="23"/>
  <c r="K2" i="23"/>
  <c r="N3" i="23"/>
  <c r="M2" i="23"/>
  <c r="I2" i="23"/>
  <c r="L2" i="23"/>
  <c r="H2" i="23"/>
  <c r="M48" i="23"/>
  <c r="Q48" i="23"/>
  <c r="I48" i="23"/>
  <c r="O48" i="23"/>
  <c r="K48" i="23"/>
  <c r="N48" i="23"/>
  <c r="J48" i="23"/>
  <c r="G2" i="23"/>
  <c r="G3" i="23"/>
  <c r="E30" i="35"/>
  <c r="P47" i="23"/>
  <c r="F26" i="35"/>
  <c r="D22" i="14"/>
  <c r="E22" i="14"/>
  <c r="E24" i="16"/>
  <c r="F24" i="16"/>
  <c r="D24" i="14"/>
  <c r="E24" i="14"/>
  <c r="F24" i="14"/>
  <c r="E25" i="16"/>
  <c r="F25" i="16"/>
  <c r="F23" i="16"/>
  <c r="D22" i="16"/>
  <c r="M22" i="21"/>
  <c r="R48" i="23"/>
  <c r="L48" i="23"/>
  <c r="P48" i="23"/>
  <c r="E50" i="23"/>
  <c r="E48" i="23"/>
  <c r="L3" i="28"/>
  <c r="K3" i="28"/>
  <c r="J3" i="28"/>
  <c r="I3" i="28"/>
  <c r="H3" i="28"/>
  <c r="G3" i="28"/>
  <c r="F3" i="28"/>
  <c r="E3" i="28"/>
  <c r="D3" i="28"/>
  <c r="C3" i="28"/>
  <c r="B3" i="28"/>
  <c r="D17" i="16"/>
  <c r="Q47" i="23"/>
  <c r="D32" i="16"/>
  <c r="E22" i="16"/>
  <c r="F22" i="14"/>
  <c r="E21" i="14"/>
  <c r="F21" i="14"/>
  <c r="D21" i="14"/>
  <c r="D50" i="23"/>
  <c r="H48" i="23"/>
  <c r="D21" i="16"/>
  <c r="D16" i="14"/>
  <c r="R47" i="23"/>
  <c r="D31" i="14"/>
  <c r="D20" i="14"/>
  <c r="D19" i="16"/>
  <c r="E21" i="16"/>
  <c r="F21" i="16"/>
  <c r="D48" i="23"/>
  <c r="S47" i="23"/>
  <c r="E20" i="14"/>
  <c r="F20" i="14"/>
  <c r="D42" i="23"/>
  <c r="T47" i="23"/>
  <c r="D25" i="14"/>
  <c r="D36" i="23"/>
  <c r="E2" i="23"/>
  <c r="D2" i="23"/>
  <c r="D29" i="14"/>
  <c r="D27" i="14"/>
  <c r="U47" i="23"/>
  <c r="F18" i="14"/>
  <c r="V47" i="23"/>
  <c r="F25" i="14"/>
  <c r="E29" i="14"/>
  <c r="D13" i="22"/>
  <c r="C13" i="22"/>
  <c r="C10" i="22"/>
  <c r="W47" i="23"/>
  <c r="X47" i="23"/>
  <c r="Y47" i="23"/>
  <c r="B4" i="16"/>
  <c r="B3" i="16"/>
  <c r="B2" i="16"/>
  <c r="Z47" i="23"/>
  <c r="G11" i="22"/>
  <c r="G8" i="22"/>
  <c r="G12" i="22"/>
  <c r="G9" i="22"/>
  <c r="E31" i="24"/>
  <c r="AQ6" i="22"/>
  <c r="AP6" i="22"/>
  <c r="AO6" i="22"/>
  <c r="AN6" i="22"/>
  <c r="AA47" i="23"/>
  <c r="G10" i="22"/>
  <c r="G13" i="22"/>
  <c r="H12" i="22"/>
  <c r="H9" i="22"/>
  <c r="H10" i="22"/>
  <c r="H11" i="22"/>
  <c r="H8" i="22"/>
  <c r="E25" i="24"/>
  <c r="E37" i="24"/>
  <c r="E15" i="24"/>
  <c r="D10" i="22"/>
  <c r="AB47" i="23"/>
  <c r="G18" i="22"/>
  <c r="G14" i="22"/>
  <c r="G15" i="22"/>
  <c r="H13" i="22"/>
  <c r="H14" i="22"/>
  <c r="H18" i="22"/>
  <c r="I12" i="22"/>
  <c r="I11" i="22"/>
  <c r="I9" i="22"/>
  <c r="I8" i="22"/>
  <c r="G22" i="22"/>
  <c r="E38" i="24"/>
  <c r="D18" i="22"/>
  <c r="C14" i="22"/>
  <c r="D14" i="22"/>
  <c r="E11" i="24"/>
  <c r="E16" i="24"/>
  <c r="AC47" i="23"/>
  <c r="I10" i="22"/>
  <c r="J12" i="22"/>
  <c r="J11" i="22"/>
  <c r="J9" i="22"/>
  <c r="J10" i="22"/>
  <c r="J8" i="22"/>
  <c r="H15" i="22"/>
  <c r="I18" i="22"/>
  <c r="H22" i="22"/>
  <c r="I13" i="22"/>
  <c r="E39" i="24"/>
  <c r="D22" i="22"/>
  <c r="D15" i="22"/>
  <c r="AD47" i="23"/>
  <c r="I14" i="22"/>
  <c r="I15" i="22"/>
  <c r="K9" i="22"/>
  <c r="K8" i="22"/>
  <c r="K11" i="22"/>
  <c r="K12" i="22"/>
  <c r="J18" i="22"/>
  <c r="J13" i="22"/>
  <c r="I22" i="22"/>
  <c r="AE47" i="23"/>
  <c r="K18" i="22"/>
  <c r="J14" i="22"/>
  <c r="J15" i="22"/>
  <c r="L9" i="22"/>
  <c r="L10" i="22"/>
  <c r="L8" i="22"/>
  <c r="L11" i="22"/>
  <c r="L12" i="22"/>
  <c r="J22" i="22"/>
  <c r="K13" i="22"/>
  <c r="K10" i="22"/>
  <c r="AF47" i="23"/>
  <c r="K14" i="22"/>
  <c r="K15" i="22"/>
  <c r="L18" i="22"/>
  <c r="M12" i="22"/>
  <c r="M11" i="22"/>
  <c r="M9" i="22"/>
  <c r="M8" i="22"/>
  <c r="L13" i="22"/>
  <c r="L14" i="22"/>
  <c r="K22" i="22"/>
  <c r="AG47" i="23"/>
  <c r="L15" i="22"/>
  <c r="M13" i="22"/>
  <c r="M10" i="22"/>
  <c r="N12" i="22"/>
  <c r="N11" i="22"/>
  <c r="N9" i="22"/>
  <c r="N10" i="22"/>
  <c r="N8" i="22"/>
  <c r="L22" i="22"/>
  <c r="M18" i="22"/>
  <c r="C26" i="16"/>
  <c r="C28" i="16"/>
  <c r="C33" i="16"/>
  <c r="E33" i="16"/>
  <c r="AH47" i="23"/>
  <c r="M14" i="22"/>
  <c r="M15" i="22"/>
  <c r="O11" i="22"/>
  <c r="O12" i="22"/>
  <c r="O8" i="22"/>
  <c r="O9" i="22"/>
  <c r="M22" i="22"/>
  <c r="N13" i="22"/>
  <c r="C30" i="16"/>
  <c r="AI47" i="23"/>
  <c r="N14" i="22"/>
  <c r="N15" i="22"/>
  <c r="C34" i="16"/>
  <c r="N18" i="22"/>
  <c r="F33" i="16"/>
  <c r="O13" i="22"/>
  <c r="O10" i="22"/>
  <c r="N22" i="22"/>
  <c r="P12" i="22"/>
  <c r="P8" i="22"/>
  <c r="P9" i="22"/>
  <c r="P10" i="22"/>
  <c r="P11" i="22"/>
  <c r="C17" i="16"/>
  <c r="AJ47" i="23"/>
  <c r="O18" i="22"/>
  <c r="O22" i="22"/>
  <c r="E34" i="16"/>
  <c r="C32" i="16"/>
  <c r="O14" i="22"/>
  <c r="O15" i="22"/>
  <c r="P18" i="22"/>
  <c r="Q12" i="22"/>
  <c r="Q11" i="22"/>
  <c r="Q9" i="22"/>
  <c r="Q8" i="22"/>
  <c r="P13" i="22"/>
  <c r="P14" i="22"/>
  <c r="F14" i="16"/>
  <c r="AK47" i="23"/>
  <c r="F34" i="16"/>
  <c r="E32" i="16"/>
  <c r="Q10" i="22"/>
  <c r="R12" i="22"/>
  <c r="R11" i="22"/>
  <c r="R9" i="22"/>
  <c r="R10" i="22"/>
  <c r="R8" i="22"/>
  <c r="Q18" i="22"/>
  <c r="P15" i="22"/>
  <c r="Q13" i="22"/>
  <c r="P22" i="22"/>
  <c r="E19" i="16"/>
  <c r="E17" i="16"/>
  <c r="AL47" i="23"/>
  <c r="F32" i="16"/>
  <c r="Q14" i="22"/>
  <c r="Q15" i="22"/>
  <c r="Q22" i="22"/>
  <c r="S9" i="22"/>
  <c r="S11" i="22"/>
  <c r="S12" i="22"/>
  <c r="S8" i="22"/>
  <c r="R18" i="22"/>
  <c r="R13" i="22"/>
  <c r="F19" i="16"/>
  <c r="AM47" i="23"/>
  <c r="R14" i="22"/>
  <c r="R15" i="22"/>
  <c r="S13" i="22"/>
  <c r="S10" i="22"/>
  <c r="T9" i="22"/>
  <c r="T10" i="22"/>
  <c r="T11" i="22"/>
  <c r="T12" i="22"/>
  <c r="T8" i="22"/>
  <c r="S18" i="22"/>
  <c r="R22" i="22"/>
  <c r="F15" i="16"/>
  <c r="F17" i="16"/>
  <c r="F13" i="16"/>
  <c r="AN47" i="23"/>
  <c r="T13" i="22"/>
  <c r="T14" i="22"/>
  <c r="S14" i="22"/>
  <c r="S15" i="22"/>
  <c r="S22" i="22"/>
  <c r="U12" i="22"/>
  <c r="U11" i="22"/>
  <c r="U9" i="22"/>
  <c r="U8" i="22"/>
  <c r="T18" i="22"/>
  <c r="AP47" i="23"/>
  <c r="AO47" i="23"/>
  <c r="T15" i="22"/>
  <c r="T22" i="22"/>
  <c r="U10" i="22"/>
  <c r="V12" i="22"/>
  <c r="V11" i="22"/>
  <c r="V9" i="22"/>
  <c r="V10" i="22"/>
  <c r="V8" i="22"/>
  <c r="U18" i="22"/>
  <c r="U13" i="22"/>
  <c r="V13" i="22"/>
  <c r="V14" i="22"/>
  <c r="U14" i="22"/>
  <c r="U15" i="22"/>
  <c r="W11" i="22"/>
  <c r="W8" i="22"/>
  <c r="W12" i="22"/>
  <c r="W9" i="22"/>
  <c r="V18" i="22"/>
  <c r="U22" i="22"/>
  <c r="V15" i="22"/>
  <c r="W10" i="22"/>
  <c r="W13" i="22"/>
  <c r="W18" i="22"/>
  <c r="V22" i="22"/>
  <c r="X12" i="22"/>
  <c r="X9" i="22"/>
  <c r="X10" i="22"/>
  <c r="X11" i="22"/>
  <c r="X8" i="22"/>
  <c r="D26" i="16"/>
  <c r="D28" i="16"/>
  <c r="F22" i="16"/>
  <c r="E26" i="16"/>
  <c r="E28" i="16"/>
  <c r="W14" i="22"/>
  <c r="W15" i="22"/>
  <c r="Y12" i="22"/>
  <c r="Y11" i="22"/>
  <c r="Y9" i="22"/>
  <c r="Y8" i="22"/>
  <c r="X18" i="22"/>
  <c r="X13" i="22"/>
  <c r="X14" i="22"/>
  <c r="W22" i="22"/>
  <c r="D30" i="16"/>
  <c r="E30" i="16"/>
  <c r="F26" i="16"/>
  <c r="F28" i="16"/>
  <c r="Y18" i="22"/>
  <c r="X15" i="22"/>
  <c r="Y13" i="22"/>
  <c r="X22" i="22"/>
  <c r="Y10" i="22"/>
  <c r="Z12" i="22"/>
  <c r="Z11" i="22"/>
  <c r="Z9" i="22"/>
  <c r="Z10" i="22"/>
  <c r="Z8" i="22"/>
  <c r="C33" i="35"/>
  <c r="Y14" i="22"/>
  <c r="Y15" i="22"/>
  <c r="Z13" i="22"/>
  <c r="AA9" i="22"/>
  <c r="AA8" i="22"/>
  <c r="AA11" i="22"/>
  <c r="AA12" i="22"/>
  <c r="Y22" i="22"/>
  <c r="C15" i="22"/>
  <c r="Z14" i="22"/>
  <c r="C34" i="35"/>
  <c r="C32" i="35"/>
  <c r="Z18" i="22"/>
  <c r="Z22" i="22"/>
  <c r="E33" i="35"/>
  <c r="Z15" i="22"/>
  <c r="AA13" i="22"/>
  <c r="AB9" i="22"/>
  <c r="AB10" i="22"/>
  <c r="AB8" i="22"/>
  <c r="AB11" i="22"/>
  <c r="AB12" i="22"/>
  <c r="AA10" i="22"/>
  <c r="C17" i="35"/>
  <c r="F33" i="35"/>
  <c r="AA18" i="22"/>
  <c r="E34" i="35"/>
  <c r="AA14" i="22"/>
  <c r="AA15" i="22"/>
  <c r="AB13" i="22"/>
  <c r="AB14" i="22"/>
  <c r="AC12" i="22"/>
  <c r="AC11" i="22"/>
  <c r="AC9" i="22"/>
  <c r="AC8" i="22"/>
  <c r="AB18" i="22"/>
  <c r="E17" i="35"/>
  <c r="E28" i="35"/>
  <c r="AA22" i="22"/>
  <c r="F34" i="35"/>
  <c r="E32" i="35"/>
  <c r="AB22" i="22"/>
  <c r="AD12" i="22"/>
  <c r="AD11" i="22"/>
  <c r="AD9" i="22"/>
  <c r="AD10" i="22"/>
  <c r="AD8" i="22"/>
  <c r="AC18" i="22"/>
  <c r="AC10" i="22"/>
  <c r="AB15" i="22"/>
  <c r="AC13" i="22"/>
  <c r="F17" i="35"/>
  <c r="F28" i="35"/>
  <c r="F32" i="35"/>
  <c r="AC14" i="22"/>
  <c r="AC15" i="22"/>
  <c r="AE11" i="22"/>
  <c r="AE12" i="22"/>
  <c r="AE8" i="22"/>
  <c r="AE9" i="22"/>
  <c r="AC22" i="22"/>
  <c r="AD13" i="22"/>
  <c r="AD14" i="22"/>
  <c r="AD18" i="22"/>
  <c r="AD15" i="22"/>
  <c r="AE10" i="22"/>
  <c r="AE18" i="22"/>
  <c r="AE13" i="22"/>
  <c r="AF12" i="22"/>
  <c r="AF8" i="22"/>
  <c r="AF9" i="22"/>
  <c r="AF10" i="22"/>
  <c r="AF11" i="22"/>
  <c r="AD22" i="22"/>
  <c r="AF13" i="22"/>
  <c r="AF14" i="22"/>
  <c r="AE14" i="22"/>
  <c r="AE15" i="22"/>
  <c r="AF18" i="22"/>
  <c r="AG12" i="22"/>
  <c r="AG11" i="22"/>
  <c r="AG9" i="22"/>
  <c r="AG8" i="22"/>
  <c r="AE22" i="22"/>
  <c r="AG13" i="22"/>
  <c r="AF15" i="22"/>
  <c r="AG10" i="22"/>
  <c r="AH12" i="22"/>
  <c r="AH11" i="22"/>
  <c r="AH9" i="22"/>
  <c r="AH10" i="22"/>
  <c r="AH8" i="22"/>
  <c r="AG18" i="22"/>
  <c r="AF22" i="22"/>
  <c r="AG14" i="22"/>
  <c r="AG15" i="22"/>
  <c r="AH13" i="22"/>
  <c r="AH18" i="22"/>
  <c r="AG22" i="22"/>
  <c r="AI8" i="22"/>
  <c r="AI9" i="22"/>
  <c r="AI11" i="22"/>
  <c r="AI12" i="22"/>
  <c r="AH14" i="22"/>
  <c r="AH15" i="22"/>
  <c r="AI10" i="22"/>
  <c r="AJ9" i="22"/>
  <c r="AJ10" i="22"/>
  <c r="AJ11" i="22"/>
  <c r="AJ12" i="22"/>
  <c r="AJ8" i="22"/>
  <c r="AI18" i="22"/>
  <c r="AH22" i="22"/>
  <c r="AI13" i="22"/>
  <c r="AI14" i="22"/>
  <c r="AI15" i="22"/>
  <c r="AJ13" i="22"/>
  <c r="AJ14" i="22"/>
  <c r="AJ18" i="22"/>
  <c r="AI22" i="22"/>
  <c r="AK12" i="22"/>
  <c r="AK11" i="22"/>
  <c r="AK9" i="22"/>
  <c r="AK8" i="22"/>
  <c r="AK13" i="22"/>
  <c r="AK10" i="22"/>
  <c r="AL12" i="22"/>
  <c r="AM12" i="22"/>
  <c r="AL11" i="22"/>
  <c r="AL9" i="22"/>
  <c r="AL8" i="22"/>
  <c r="AM5" i="22"/>
  <c r="AM4" i="22"/>
  <c r="AJ15" i="22"/>
  <c r="AK18" i="22"/>
  <c r="AJ22" i="22"/>
  <c r="AK14" i="22"/>
  <c r="AK15" i="22"/>
  <c r="AM3" i="22"/>
  <c r="AL10" i="22"/>
  <c r="AM9" i="22"/>
  <c r="AK22" i="22"/>
  <c r="AL13" i="22"/>
  <c r="C34" i="36"/>
  <c r="AM11" i="22"/>
  <c r="AM13" i="22"/>
  <c r="AM8" i="22"/>
  <c r="C17" i="36"/>
  <c r="E34" i="36"/>
  <c r="C33" i="14"/>
  <c r="AM10" i="22"/>
  <c r="AM14" i="22"/>
  <c r="C33" i="36"/>
  <c r="C27" i="14"/>
  <c r="AL14" i="22"/>
  <c r="AL15" i="22"/>
  <c r="AL18" i="22"/>
  <c r="AM6" i="22"/>
  <c r="E17" i="36"/>
  <c r="E28" i="36"/>
  <c r="C16" i="14"/>
  <c r="C32" i="36"/>
  <c r="E33" i="36"/>
  <c r="C32" i="14"/>
  <c r="C31" i="14"/>
  <c r="E27" i="14"/>
  <c r="F34" i="36"/>
  <c r="F33" i="14"/>
  <c r="E33" i="14"/>
  <c r="AM15" i="22"/>
  <c r="AL22" i="22"/>
  <c r="AM18" i="22"/>
  <c r="F17" i="36"/>
  <c r="F28" i="36"/>
  <c r="E16" i="14"/>
  <c r="F27" i="14"/>
  <c r="F33" i="36"/>
  <c r="E32" i="36"/>
  <c r="E32" i="14"/>
  <c r="E31" i="14"/>
  <c r="AM22" i="22"/>
  <c r="F16" i="14"/>
  <c r="F32" i="36"/>
  <c r="F32" i="14"/>
  <c r="F31" i="14"/>
</calcChain>
</file>

<file path=xl/sharedStrings.xml><?xml version="1.0" encoding="utf-8"?>
<sst xmlns="http://schemas.openxmlformats.org/spreadsheetml/2006/main" count="522" uniqueCount="234">
  <si>
    <t>PROJECT TITLE:</t>
  </si>
  <si>
    <t xml:space="preserve">PROJECT MANAGER: </t>
  </si>
  <si>
    <t xml:space="preserve">SOURCES: </t>
  </si>
  <si>
    <t xml:space="preserve">USES: </t>
  </si>
  <si>
    <t>TOTAL</t>
  </si>
  <si>
    <t>Type</t>
  </si>
  <si>
    <t>H</t>
  </si>
  <si>
    <t>Total</t>
  </si>
  <si>
    <t>FY15</t>
  </si>
  <si>
    <t>Total Hours</t>
  </si>
  <si>
    <t>Total Cost</t>
  </si>
  <si>
    <t>Resource</t>
  </si>
  <si>
    <t>C</t>
  </si>
  <si>
    <t>P</t>
  </si>
  <si>
    <t>E</t>
  </si>
  <si>
    <t>Project Staff</t>
  </si>
  <si>
    <t>Hour</t>
  </si>
  <si>
    <t>Cost</t>
  </si>
  <si>
    <t>Approved Budget</t>
  </si>
  <si>
    <t>Project Sources:</t>
  </si>
  <si>
    <t>Cash Based</t>
  </si>
  <si>
    <t>University Funded PBA</t>
  </si>
  <si>
    <t>University Funded Cash</t>
  </si>
  <si>
    <t>OCIO Reallocation PBA</t>
  </si>
  <si>
    <t>OCIO Reallocation Cash</t>
  </si>
  <si>
    <t>Other-xxx</t>
  </si>
  <si>
    <t>Total Cash Based Sources</t>
  </si>
  <si>
    <t>Non-Cash Based</t>
  </si>
  <si>
    <t>Total Non-Cash Based Sources</t>
  </si>
  <si>
    <t>Total Project Sources</t>
  </si>
  <si>
    <t>Project One-Time Cost</t>
  </si>
  <si>
    <t>Non-Labor Cost:</t>
  </si>
  <si>
    <t>Hardware</t>
  </si>
  <si>
    <t>Software</t>
  </si>
  <si>
    <t>Other</t>
  </si>
  <si>
    <t>Project Contingency</t>
  </si>
  <si>
    <t>Total Non-Labor Cost</t>
  </si>
  <si>
    <t>Labor Hours:</t>
  </si>
  <si>
    <t>OCIO Project Funded Staff</t>
  </si>
  <si>
    <t>Consulting Staff</t>
  </si>
  <si>
    <t>Total Labor Hours</t>
  </si>
  <si>
    <t>Labor Cost:</t>
  </si>
  <si>
    <t>Total Labor Cost</t>
  </si>
  <si>
    <t>Total Project Uses</t>
  </si>
  <si>
    <t>Net</t>
  </si>
  <si>
    <t>Resource Hours</t>
  </si>
  <si>
    <t>Project Cash Funded Hours</t>
  </si>
  <si>
    <t>Grand Total</t>
  </si>
  <si>
    <t>Program</t>
  </si>
  <si>
    <t>Account Description</t>
  </si>
  <si>
    <t>Expenses</t>
  </si>
  <si>
    <t>PROJECT START DATE:</t>
  </si>
  <si>
    <t xml:space="preserve">CONTINGENCY  </t>
  </si>
  <si>
    <t>EXPECTED TOTAL (ACTUAL + FORECASTED)</t>
  </si>
  <si>
    <t>VARIANCE (BUDGET VS. EXPECTED)</t>
  </si>
  <si>
    <t>Forecast</t>
  </si>
  <si>
    <t>Non-Labor Costs</t>
  </si>
  <si>
    <t>Notes</t>
  </si>
  <si>
    <t>- Cap Equipment</t>
  </si>
  <si>
    <t>- VM Servers</t>
  </si>
  <si>
    <t>- Storage</t>
  </si>
  <si>
    <t>- Training</t>
  </si>
  <si>
    <t>- Conference Attendance</t>
  </si>
  <si>
    <t>- Non-cap Computer Equipment</t>
  </si>
  <si>
    <t>- Office supplies, copiers and printers</t>
  </si>
  <si>
    <t>- Morale and Welfare</t>
  </si>
  <si>
    <t>-  Off-site Meeting Rooms</t>
  </si>
  <si>
    <t>- Staff Recruiting, Background Checks</t>
  </si>
  <si>
    <t>- Telephones</t>
  </si>
  <si>
    <t>- Desktop Software</t>
  </si>
  <si>
    <t>Consulting Costs</t>
  </si>
  <si>
    <t>- Severance</t>
  </si>
  <si>
    <t>GL PROJECT ID:</t>
  </si>
  <si>
    <t>SLT SPONSOR:</t>
  </si>
  <si>
    <t xml:space="preserve">PROJECT END DATE: </t>
  </si>
  <si>
    <t xml:space="preserve">TOTAL PROJECT FINANCIAL SUMMARY </t>
  </si>
  <si>
    <t xml:space="preserve">   BUDGET</t>
  </si>
  <si>
    <t>Personnel Costs: Project Funded Staff</t>
  </si>
  <si>
    <t>Administrative Costs</t>
  </si>
  <si>
    <t xml:space="preserve"> ACTUAL TO DATE</t>
  </si>
  <si>
    <t xml:space="preserve">    BUDGET</t>
  </si>
  <si>
    <t>Personnel Costs: Consultants/Contractors</t>
  </si>
  <si>
    <t xml:space="preserve">Hardware Costs </t>
  </si>
  <si>
    <t xml:space="preserve">Software Costs </t>
  </si>
  <si>
    <t xml:space="preserve">Other Expenses / Transfers </t>
  </si>
  <si>
    <t>All salary and benefits for project funded staff</t>
  </si>
  <si>
    <t>All consultant and contractor costs</t>
  </si>
  <si>
    <t xml:space="preserve">Infrastructure costs (VM storage, servers, racks, network) </t>
  </si>
  <si>
    <t xml:space="preserve">Licenses and maintenance </t>
  </si>
  <si>
    <t>FORECASTED / ESTIMATE TO COMPLETE</t>
  </si>
  <si>
    <t>Role / Notes</t>
  </si>
  <si>
    <t>Hourly Cost / Annual Cost</t>
  </si>
  <si>
    <t>OCIO</t>
  </si>
  <si>
    <t>-Back-ups</t>
  </si>
  <si>
    <t>- Support Assessment</t>
  </si>
  <si>
    <t>OCIO Donated Resources</t>
  </si>
  <si>
    <t>Assessment, Travel, Phone, Personal &amp; Non-Cap Equipment</t>
  </si>
  <si>
    <t xml:space="preserve">All other expense and transfers </t>
  </si>
  <si>
    <t>Team</t>
  </si>
  <si>
    <t>Description</t>
  </si>
  <si>
    <t>PO Information</t>
  </si>
  <si>
    <t>Consulting/Contractors</t>
  </si>
  <si>
    <t>Actual</t>
  </si>
  <si>
    <t>- Consultant 1</t>
  </si>
  <si>
    <t>- Consultant 2</t>
  </si>
  <si>
    <t>Non-Cash Budget</t>
  </si>
  <si>
    <t>FY16</t>
  </si>
  <si>
    <t>FY17</t>
  </si>
  <si>
    <t>Totals</t>
  </si>
  <si>
    <t xml:space="preserve"> </t>
  </si>
  <si>
    <t>FTE %</t>
  </si>
  <si>
    <t xml:space="preserve">REPORTING DATE: </t>
  </si>
  <si>
    <t>Steps</t>
  </si>
  <si>
    <t>Financial Template Setup Instructions</t>
  </si>
  <si>
    <t>Financial Template Monthly Maintenance Instructions</t>
  </si>
  <si>
    <t>Fill out "Budget" tab with Financials from project charter</t>
  </si>
  <si>
    <t>Resource Type</t>
  </si>
  <si>
    <t>Forecast Type</t>
  </si>
  <si>
    <t>Activity</t>
  </si>
  <si>
    <t>Notes / Steps</t>
  </si>
  <si>
    <t>Build team on "Labor Hours" tab</t>
  </si>
  <si>
    <t>Build team on "Labor Forecast" tab</t>
  </si>
  <si>
    <t>Fill out Summary section on "Project Summary" tab</t>
  </si>
  <si>
    <t>- Basic information on project management, start/end dates, etc
- This information is carried forward to FY summaries</t>
  </si>
  <si>
    <t>Input cost forecasts on "Cost Details" tab</t>
  </si>
  <si>
    <t>Copy work from MS Project Server</t>
  </si>
  <si>
    <t>Ready for use</t>
  </si>
  <si>
    <t>- At this point the Project Summary, FY summary, labor forecast and forecast tabs will all have the information for look-up to populate their respective data elements on cost and effort</t>
  </si>
  <si>
    <t>Reconcile "Costs Detail"</t>
  </si>
  <si>
    <t>- Record every cost that hit the project GL on the costs detail with the exception of OSU salaries (reconciled on the Labor Forecast tab)
- For expenses that hit the GL, remove the forecasted cost for the previous month and record the actual cost for the month
- For expenses that weren't included in forecast, refer to the instructions for "New POs" to add the charge before proceeding
- Adjust forecasts as necessary
- Confirm POs are within financial limits and contract end dates</t>
  </si>
  <si>
    <t>Reconcile "Labor Forecast"</t>
  </si>
  <si>
    <t>- For labor expenses that hit the GL, remove the forecasted cost and hours for the previous month
- All additional information will updated via look-ups against the "MS Project Data - Forecast" tab</t>
  </si>
  <si>
    <t>Ready for Use</t>
  </si>
  <si>
    <t>- The remaining tabs and values will update accordingly based on the calculations included therein</t>
  </si>
  <si>
    <t>New POs Instructions</t>
  </si>
  <si>
    <t>PM adds employee to Project Server</t>
  </si>
  <si>
    <t>Resource Roll-On Instructions</t>
  </si>
  <si>
    <t>Resource Roll-Off Instructions</t>
  </si>
  <si>
    <t>- See Setup instructions for detailed steps to add the resource to this tab</t>
  </si>
  <si>
    <t>Add resource to the "Labor Hours" tab</t>
  </si>
  <si>
    <t>Add resource to the "Labor Forecast" tab</t>
  </si>
  <si>
    <t>If the resource is a contractor, add them to the "Costs Detail" tab</t>
  </si>
  <si>
    <t>PM removes remaining work from Project Server</t>
  </si>
  <si>
    <t>- This will clear forecasted work the next time work is pulled into the Financial template</t>
  </si>
  <si>
    <t>Remove forecasted costs from the "Labor Forecast" tab</t>
  </si>
  <si>
    <t>If the resource is a contractor, remove the forecasted to the "Costs Detail" tab</t>
  </si>
  <si>
    <t>- Delete forecast calculation from future months that the resource is no longer planning on working</t>
  </si>
  <si>
    <t>Add new expected cost to the "Cost Detail" tab</t>
  </si>
  <si>
    <t>- See "Costs Detail" setup instructions for detailed steps</t>
  </si>
  <si>
    <t>- All other data elements will update per the calculations included therein</t>
  </si>
  <si>
    <t>- For all resources on the project, copy all work from the MS Project "Resource Usage" view
- To copy, hide all subtasks to get one line per resource and switch to work.  Note:  if the plan has been properly maintained, the actual work will equal the work for all previous months and for future months the work will be the forecasted work
- Before proceeding with updating the template, confirm all resources in the plan are accounted for in the financial tracking template.  If they are not, refer to the "Resource Roll-On" Instructions before proceeding with the monthly maintenance</t>
  </si>
  <si>
    <t xml:space="preserve">- Employee must first be added to the project plan on project server to track actual costs
- Note:  forecasted costs can be manually inputted into template prior to this step and replaced with actual values once the resource is added to the plan </t>
  </si>
  <si>
    <t>Project Funded Staff</t>
  </si>
  <si>
    <t>Consultants/Contractors</t>
  </si>
  <si>
    <t>CASH - Project Funded Staff</t>
  </si>
  <si>
    <t>CASH - Consultants/contractors</t>
  </si>
  <si>
    <t>TOTAL Cash</t>
  </si>
  <si>
    <t>Total Non-Labor Costs</t>
  </si>
  <si>
    <t>Totals by Type</t>
  </si>
  <si>
    <t>- Provides a baseline from which total forecast and actuals can be compared against the original financial plan
- Budget information is used by Summary tabs</t>
  </si>
  <si>
    <t>Billable hours /month (assumes 8 hr work day and 40 hr work week)</t>
  </si>
  <si>
    <t xml:space="preserve">- Major headings should not be changed as they align with the charter and the "Budget" tab (ie Hardware, software, etc)
- Sub-headings can be changed to match the anticipated costs of the project; discretion of the PM for fiscal tracking
- PO information should include the number of the PO and amount of the PO
- Notes, at a minimum, should include PO expiration; additional detail per PMs discretion
- Forecast monthly costs in the forecast line for each item
- Time and material consulting forecasts should be a look-up on the "Labor Forecast" as this has already been forecasted; tracking it here to see forecasts along with actuals to track invoices and to compare against original PO amounts.  Fixed-priced contractors will only be forecasted on this tab. </t>
  </si>
  <si>
    <t>Contributed Resources</t>
  </si>
  <si>
    <t>Contributed Hours</t>
  </si>
  <si>
    <t>Total Contributed Hours</t>
  </si>
  <si>
    <t>Total Contractors Hours</t>
  </si>
  <si>
    <t>Total Project Funded Employee Hours</t>
  </si>
  <si>
    <t>Contributed Labor Hours</t>
  </si>
  <si>
    <t>Contributed Labor Cost</t>
  </si>
  <si>
    <t>NON-CASH - Contributed</t>
  </si>
  <si>
    <t>Contributed</t>
  </si>
  <si>
    <t>Consultants / Contractors (External)</t>
  </si>
  <si>
    <t>Enter "GL Actuals"</t>
  </si>
  <si>
    <t>- Start every month with updating the latest actual GL expenses from the available BuckIQ income statement analysis reports
- When completed, ask OCIO fiscal to confirm the amounts entered</t>
  </si>
  <si>
    <t>Total Hours / Cost</t>
  </si>
  <si>
    <t>1st Year</t>
  </si>
  <si>
    <t>2nd Year</t>
  </si>
  <si>
    <t>3rd Year</t>
  </si>
  <si>
    <t>Starting Month</t>
  </si>
  <si>
    <t>Sources:</t>
  </si>
  <si>
    <t>Cash Budget</t>
  </si>
  <si>
    <t>Benefit Rates</t>
  </si>
  <si>
    <t>OCIO Contributed Resources hourly Rate</t>
  </si>
  <si>
    <t>Projected Annual Increase</t>
  </si>
  <si>
    <t>OVERALL SOURCES</t>
  </si>
  <si>
    <t xml:space="preserve">  Cash Budget</t>
  </si>
  <si>
    <t>Other Sources</t>
  </si>
  <si>
    <t>TOTAL CASH SOURCES</t>
  </si>
  <si>
    <t>USES:</t>
  </si>
  <si>
    <t xml:space="preserve">TOTAL CASH SOURCES </t>
  </si>
  <si>
    <t xml:space="preserve">  LABOR COSTS</t>
  </si>
  <si>
    <t xml:space="preserve">  NON-LABOR COSTS</t>
  </si>
  <si>
    <t>LABOR HOURS</t>
  </si>
  <si>
    <t>TOTAL CASH COSTS</t>
  </si>
  <si>
    <t>Contributed Resources Cost</t>
  </si>
  <si>
    <t>TOTAL PROJECT COSTS</t>
  </si>
  <si>
    <t>Total YTD</t>
  </si>
  <si>
    <t>Total Project</t>
  </si>
  <si>
    <t>NET CASH DIFFERENCE</t>
  </si>
  <si>
    <t>- Software Licenses On-going Maintenance</t>
  </si>
  <si>
    <t>- Software Licenses Purchased</t>
  </si>
  <si>
    <t>Fiscal Year</t>
  </si>
  <si>
    <t>Legend</t>
  </si>
  <si>
    <t>Scarlet Tabs</t>
  </si>
  <si>
    <t>Requires some level of regular maintenance/updating</t>
  </si>
  <si>
    <t>Light Gray Tabs</t>
  </si>
  <si>
    <t>Dark Gray Tabs</t>
  </si>
  <si>
    <t>Requires completion at startup only</t>
  </si>
  <si>
    <t>No updating or maintenance required; information/assumptions only</t>
  </si>
  <si>
    <t>Scarlet Cells</t>
  </si>
  <si>
    <t xml:space="preserve"> Tabs Color Coding</t>
  </si>
  <si>
    <t xml:space="preserve"> Cells Color Coding</t>
  </si>
  <si>
    <t>Light Gray Cells</t>
  </si>
  <si>
    <t>Dark Gray Cells</t>
  </si>
  <si>
    <t>No updating or maintenance required; calculated</t>
  </si>
  <si>
    <t>- Each Resource will have 2 lines (one for their cost and one for their labor forecast--designated on Column E, "Type")
- Team and Role/Notes information is for PM use only
-  Resource Name must match name from Project Server exactly (ie doing a look-up up on the "MS Project Data - Forecast" tab)
- Designate "Resource Type" (legend on the tab)
- Designate "FTE %" (used in cost forecast calculations for project funded employees)
- Designate "Forecast Type" (legend on tab); this is where one line is designated for cost forecasting and the other for effort
- Designate "Hourly Cost / Annual Cost" (for External resources use this column to note their hourly rate and for Project funded salaried employees use this column to note their annual salary.  Forecast calculation using employee type use this data accordingly.  Note:  For salaried employees, a composite benefits rate additional cost is included in the monthly forecasts based on the rate identified on the assumptions tab.  For hourly employees, the amount for the month is calculated using the billable hours for each month listed below the table in the tab
- Align monthly anticipated costs with expected work duration (ex the template is setup to plan for these costs for three years, so if the resource was only planned to be on the payroll for a year, then we would need delete the forecast calculations from the second and third years of the template)</t>
  </si>
  <si>
    <t>Team / Dept</t>
  </si>
  <si>
    <t>- Put names as they are listed in Project Server in the first column (look up from "MS Project Data - Forecast" for actual hours worked, so it must match exactly)
- There are 3 sections for employees:  "Non-cash labor" is for contributed resources, internal staff is for salaried OSU employees for which the project is funding their salary and external staff is for hourly paid consultants.
- Identify team / dept (PM choice) of contributed resources and build respective lookups in below section to give you a breakout of contributed effort / cost by team / dept</t>
  </si>
  <si>
    <t>Project Financial Changes</t>
  </si>
  <si>
    <t>Date</t>
  </si>
  <si>
    <t>Financial Impact</t>
  </si>
  <si>
    <t>Version</t>
  </si>
  <si>
    <t>Notes to Update Previous Versions</t>
  </si>
  <si>
    <t>Financial template created for OCIO-wide use</t>
  </si>
  <si>
    <t>n/a</t>
  </si>
  <si>
    <t>Added "Project Changes" tab to track financial scope changes/other changes relevant to the tracking of project finances</t>
  </si>
  <si>
    <t>Copy tab from template</t>
  </si>
  <si>
    <t>Added "Template Change Control"</t>
  </si>
  <si>
    <t>BUDGET - EXPECTED TOTAL 
W/OUT CONTINGENCY</t>
  </si>
  <si>
    <t>Added "Budget - Expected Total w/out Contingency Value on Project Summary Tab</t>
  </si>
  <si>
    <t>Copy cells D36:F36 from Project Summary tab on template and paste into the same tab/cells in your project finance spreadsheet; also requires changing the row height to .35" to fit text</t>
  </si>
  <si>
    <t>Template Version</t>
  </si>
  <si>
    <t>Added "Template Version" to Assumptions tab</t>
  </si>
  <si>
    <t>Copy cells A9:B9 from Assumptions tab in template and paste into the same tab/cells in your project finance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</si>
</sst>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409]mmm\-yy;@"/>
    <numFmt numFmtId="166" formatCode="_(&quot;$&quot;* #,##0_);_(&quot;$&quot;* \(#,##0\);_(&quot;$&quot;* &quot;-&quot;??_);_(@_)"/>
    <numFmt numFmtId="167" formatCode="m/d/yyyy;@"/>
    <numFmt numFmtId="168" formatCode="#,##0.0_);[Red]\(#,##0.0\)"/>
    <numFmt numFmtId="169" formatCode="#,##0&quot; hours&quot;"/>
    <numFmt numFmtId="170" formatCode="&quot;YTD Cash Balance   &quot;&quot;$&quot;#,##0.00_);[Red]&quot;YTD Cash Deficit  &quot;\(&quot;$&quot;#,##0.00\)"/>
    <numFmt numFmtId="171" formatCode="&quot;$&quot;#,##0.00"/>
    <numFmt numFmtId="173" formatCode="mm/dd/yy;@"/>
    <numFmt numFmtId="174" formatCode="m/d/yy;@"/>
  </numFmts>
  <fonts count="34" x14ac:knownFonts="1">
    <font>
      <sz val="11"/>
      <color theme="1"/>
      <name val="Calibri"/>
      <family val="2"/>
      <scheme val="minor"/>
    </font>
    <font>
      <sz val="8"/>
      <color theme="1"/>
      <name val="Arial"/>
      <family val="2"/>
    </font>
    <font>
      <sz val="10"/>
      <color theme="1"/>
      <name val="Calibri"/>
      <family val="2"/>
      <scheme val="minor"/>
    </font>
    <font>
      <b/>
      <sz val="10"/>
      <color theme="1"/>
      <name val="Calibri"/>
      <family val="2"/>
      <scheme val="minor"/>
    </font>
    <font>
      <sz val="11"/>
      <color theme="1"/>
      <name val="Calibri"/>
      <family val="2"/>
      <scheme val="minor"/>
    </font>
    <font>
      <sz val="10"/>
      <name val="Arial"/>
      <family val="2"/>
    </font>
    <font>
      <sz val="8"/>
      <name val="Arial"/>
      <family val="2"/>
    </font>
    <font>
      <sz val="8"/>
      <color theme="1"/>
      <name val="Arial"/>
      <family val="2"/>
    </font>
    <font>
      <b/>
      <sz val="8"/>
      <color theme="1"/>
      <name val="Arial"/>
      <family val="2"/>
    </font>
    <font>
      <sz val="11"/>
      <color theme="1"/>
      <name val="Arial"/>
      <family val="2"/>
    </font>
    <font>
      <b/>
      <i/>
      <sz val="10"/>
      <color theme="1"/>
      <name val="Calibri"/>
      <family val="2"/>
      <scheme val="minor"/>
    </font>
    <font>
      <i/>
      <sz val="10"/>
      <color theme="1"/>
      <name val="Calibri"/>
      <family val="2"/>
      <scheme val="minor"/>
    </font>
    <font>
      <b/>
      <sz val="8"/>
      <name val="Arial"/>
      <family val="2"/>
    </font>
    <font>
      <b/>
      <sz val="8"/>
      <color indexed="8"/>
      <name val="Arial"/>
      <family val="2"/>
    </font>
    <font>
      <sz val="8"/>
      <color indexed="8"/>
      <name val="Arial"/>
      <family val="2"/>
    </font>
    <font>
      <sz val="9"/>
      <color theme="1"/>
      <name val="Calibri"/>
      <family val="2"/>
      <scheme val="minor"/>
    </font>
    <font>
      <b/>
      <sz val="9"/>
      <name val="Calibri"/>
      <family val="2"/>
    </font>
    <font>
      <sz val="9"/>
      <name val="Calibri"/>
      <family val="2"/>
    </font>
    <font>
      <sz val="9"/>
      <color indexed="10"/>
      <name val="Calibri"/>
      <family val="2"/>
    </font>
    <font>
      <sz val="9"/>
      <color indexed="12"/>
      <name val="Calibri"/>
      <family val="2"/>
    </font>
    <font>
      <sz val="8"/>
      <color indexed="10"/>
      <name val="Arial"/>
      <family val="2"/>
    </font>
    <font>
      <b/>
      <sz val="12"/>
      <color theme="1"/>
      <name val="Calibri"/>
      <family val="2"/>
      <scheme val="minor"/>
    </font>
    <font>
      <sz val="12"/>
      <color theme="1"/>
      <name val="Calibri"/>
      <family val="2"/>
      <scheme val="minor"/>
    </font>
    <font>
      <sz val="9"/>
      <color rgb="FFFF0000"/>
      <name val="Calibri"/>
      <family val="2"/>
      <scheme val="minor"/>
    </font>
    <font>
      <b/>
      <sz val="9"/>
      <color theme="1"/>
      <name val="Calibri"/>
      <family val="2"/>
      <scheme val="minor"/>
    </font>
    <font>
      <sz val="11"/>
      <color theme="1"/>
      <name val="Calibri"/>
      <family val="2"/>
    </font>
    <font>
      <b/>
      <sz val="11"/>
      <color theme="1"/>
      <name val="Calibri"/>
      <family val="2"/>
      <scheme val="minor"/>
    </font>
    <font>
      <sz val="8"/>
      <color rgb="FF000000"/>
      <name val="Arial"/>
      <family val="2"/>
    </font>
    <font>
      <sz val="9"/>
      <name val="Calibri"/>
      <family val="2"/>
      <scheme val="minor"/>
    </font>
    <font>
      <b/>
      <u/>
      <sz val="9"/>
      <name val="Calibri"/>
      <family val="2"/>
      <scheme val="minor"/>
    </font>
    <font>
      <b/>
      <i/>
      <sz val="9"/>
      <name val="Calibri"/>
      <family val="2"/>
      <scheme val="minor"/>
    </font>
    <font>
      <u/>
      <sz val="9"/>
      <name val="Calibri"/>
      <family val="2"/>
      <scheme val="minor"/>
    </font>
    <font>
      <b/>
      <sz val="9"/>
      <name val="Calibri"/>
      <family val="2"/>
      <scheme val="minor"/>
    </font>
    <font>
      <b/>
      <u/>
      <sz val="8"/>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34998626667073579"/>
        <bgColor indexed="24"/>
      </patternFill>
    </fill>
    <fill>
      <patternFill patternType="solid">
        <fgColor theme="0"/>
        <bgColor indexed="64"/>
      </patternFill>
    </fill>
  </fills>
  <borders count="101">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double">
        <color auto="1"/>
      </left>
      <right style="double">
        <color auto="1"/>
      </right>
      <top style="double">
        <color auto="1"/>
      </top>
      <bottom style="double">
        <color auto="1"/>
      </bottom>
      <diagonal/>
    </border>
    <border>
      <left style="double">
        <color auto="1"/>
      </left>
      <right/>
      <top/>
      <bottom/>
      <diagonal/>
    </border>
    <border>
      <left style="double">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right style="double">
        <color auto="1"/>
      </right>
      <top style="thin">
        <color auto="1"/>
      </top>
      <bottom style="thin">
        <color auto="1"/>
      </bottom>
      <diagonal/>
    </border>
    <border>
      <left/>
      <right style="medium">
        <color indexed="64"/>
      </right>
      <top/>
      <bottom style="thin">
        <color indexed="64"/>
      </bottom>
      <diagonal/>
    </border>
    <border>
      <left style="thin">
        <color rgb="FFB1BBCC"/>
      </left>
      <right style="thin">
        <color rgb="FFB1BBCC"/>
      </right>
      <top style="thin">
        <color rgb="FFB1BBCC"/>
      </top>
      <bottom style="thin">
        <color rgb="FFB1BBCC"/>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right/>
      <top style="double">
        <color auto="1"/>
      </top>
      <bottom/>
      <diagonal/>
    </border>
    <border>
      <left style="double">
        <color auto="1"/>
      </left>
      <right style="thin">
        <color auto="1"/>
      </right>
      <top style="thin">
        <color auto="1"/>
      </top>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style="double">
        <color auto="1"/>
      </left>
      <right/>
      <top/>
      <bottom style="double">
        <color auto="1"/>
      </bottom>
      <diagonal/>
    </border>
    <border>
      <left/>
      <right/>
      <top/>
      <bottom style="double">
        <color auto="1"/>
      </bottom>
      <diagonal/>
    </border>
    <border>
      <left/>
      <right/>
      <top style="thin">
        <color auto="1"/>
      </top>
      <bottom style="thick">
        <color indexed="64"/>
      </bottom>
      <diagonal/>
    </border>
    <border>
      <left/>
      <right/>
      <top style="thick">
        <color indexed="64"/>
      </top>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s>
  <cellStyleXfs count="16">
    <xf numFmtId="0" fontId="0" fillId="0" borderId="0"/>
    <xf numFmtId="0" fontId="5" fillId="0" borderId="0"/>
    <xf numFmtId="0" fontId="7" fillId="0" borderId="0"/>
    <xf numFmtId="0" fontId="6" fillId="0" borderId="0"/>
    <xf numFmtId="44" fontId="7"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0" fontId="4" fillId="0" borderId="0"/>
    <xf numFmtId="0" fontId="9" fillId="0" borderId="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4" fillId="0" borderId="0"/>
    <xf numFmtId="0" fontId="25" fillId="0" borderId="0"/>
    <xf numFmtId="44" fontId="4" fillId="0" borderId="0" applyFont="0" applyFill="0" applyBorder="0" applyAlignment="0" applyProtection="0"/>
  </cellStyleXfs>
  <cellXfs count="477">
    <xf numFmtId="0" fontId="0" fillId="0" borderId="0" xfId="0"/>
    <xf numFmtId="0" fontId="2" fillId="0" borderId="0" xfId="0" applyFont="1"/>
    <xf numFmtId="6" fontId="2" fillId="0" borderId="0" xfId="0" applyNumberFormat="1" applyFont="1"/>
    <xf numFmtId="0" fontId="2" fillId="0" borderId="0" xfId="0" applyFont="1" applyAlignment="1">
      <alignment vertical="center"/>
    </xf>
    <xf numFmtId="0" fontId="2" fillId="0" borderId="0" xfId="0" applyFont="1" applyAlignment="1">
      <alignment wrapText="1"/>
    </xf>
    <xf numFmtId="0" fontId="11" fillId="0" borderId="0" xfId="0" applyFont="1"/>
    <xf numFmtId="0" fontId="14" fillId="0" borderId="0" xfId="2" applyFont="1"/>
    <xf numFmtId="0" fontId="0" fillId="0" borderId="0" xfId="8" applyFont="1" applyBorder="1"/>
    <xf numFmtId="0" fontId="14" fillId="0" borderId="0" xfId="2" applyFont="1" applyBorder="1" applyAlignment="1">
      <alignment horizontal="center"/>
    </xf>
    <xf numFmtId="0" fontId="14" fillId="0" borderId="0" xfId="2" applyFont="1" applyBorder="1"/>
    <xf numFmtId="0" fontId="14" fillId="0" borderId="0" xfId="8" applyFont="1"/>
    <xf numFmtId="0" fontId="14" fillId="0" borderId="0" xfId="2" applyFont="1" applyAlignment="1">
      <alignment horizontal="center"/>
    </xf>
    <xf numFmtId="0" fontId="7" fillId="0" borderId="0" xfId="2" applyFont="1" applyBorder="1"/>
    <xf numFmtId="38" fontId="7" fillId="0" borderId="0" xfId="2" applyNumberFormat="1" applyFont="1" applyBorder="1" applyAlignment="1">
      <alignment horizontal="right"/>
    </xf>
    <xf numFmtId="0" fontId="14" fillId="0" borderId="1" xfId="2" applyFont="1" applyBorder="1" applyAlignment="1">
      <alignment horizontal="left"/>
    </xf>
    <xf numFmtId="0" fontId="14" fillId="0" borderId="2" xfId="2" applyFont="1" applyBorder="1" applyAlignment="1">
      <alignment horizontal="center"/>
    </xf>
    <xf numFmtId="0" fontId="14" fillId="0" borderId="3" xfId="2" applyFont="1" applyBorder="1" applyAlignment="1">
      <alignment horizontal="left"/>
    </xf>
    <xf numFmtId="0" fontId="14" fillId="0" borderId="5" xfId="2" applyFont="1" applyBorder="1" applyAlignment="1">
      <alignment horizontal="center"/>
    </xf>
    <xf numFmtId="0" fontId="0" fillId="0" borderId="0" xfId="8" applyFont="1"/>
    <xf numFmtId="0" fontId="7" fillId="0" borderId="3" xfId="2" applyFont="1" applyBorder="1" applyAlignment="1">
      <alignment vertical="center"/>
    </xf>
    <xf numFmtId="0" fontId="7" fillId="0" borderId="5" xfId="2" applyFont="1" applyBorder="1" applyAlignment="1">
      <alignment horizontal="center" vertical="center"/>
    </xf>
    <xf numFmtId="0" fontId="17" fillId="0" borderId="0" xfId="3" applyFont="1"/>
    <xf numFmtId="165" fontId="17" fillId="0" borderId="0" xfId="3" applyNumberFormat="1" applyFont="1" applyBorder="1"/>
    <xf numFmtId="0" fontId="17" fillId="0" borderId="12" xfId="3" applyFont="1" applyBorder="1"/>
    <xf numFmtId="168" fontId="17" fillId="0" borderId="0" xfId="3" applyNumberFormat="1" applyFont="1" applyFill="1" applyBorder="1"/>
    <xf numFmtId="0" fontId="17" fillId="0" borderId="24" xfId="3" applyFont="1" applyBorder="1"/>
    <xf numFmtId="0" fontId="7" fillId="0" borderId="0" xfId="2" applyFill="1"/>
    <xf numFmtId="6" fontId="2" fillId="0" borderId="46" xfId="0" applyNumberFormat="1" applyFont="1" applyBorder="1" applyAlignment="1">
      <alignment horizontal="right"/>
    </xf>
    <xf numFmtId="38" fontId="2" fillId="0" borderId="0" xfId="0" applyNumberFormat="1" applyFont="1"/>
    <xf numFmtId="0" fontId="3" fillId="0" borderId="47" xfId="0" applyFont="1" applyBorder="1" applyAlignment="1">
      <alignment horizontal="left"/>
    </xf>
    <xf numFmtId="0" fontId="3" fillId="0" borderId="52" xfId="0" applyFont="1" applyBorder="1"/>
    <xf numFmtId="0" fontId="3" fillId="0" borderId="47" xfId="0" applyFont="1" applyBorder="1" applyAlignment="1">
      <alignment horizontal="left" wrapText="1"/>
    </xf>
    <xf numFmtId="0" fontId="0" fillId="0" borderId="54" xfId="0" applyBorder="1" applyAlignment="1">
      <alignment horizontal="left" wrapText="1"/>
    </xf>
    <xf numFmtId="167" fontId="0" fillId="0" borderId="54" xfId="0" applyNumberFormat="1" applyBorder="1" applyAlignment="1">
      <alignment horizontal="left" wrapText="1"/>
    </xf>
    <xf numFmtId="164" fontId="7" fillId="0" borderId="0" xfId="2" applyNumberFormat="1" applyFill="1"/>
    <xf numFmtId="171" fontId="8" fillId="0" borderId="0" xfId="2" applyNumberFormat="1" applyFont="1" applyFill="1"/>
    <xf numFmtId="171" fontId="7" fillId="0" borderId="0" xfId="2" applyNumberFormat="1" applyFont="1" applyFill="1"/>
    <xf numFmtId="0" fontId="3" fillId="0" borderId="55" xfId="0" applyFont="1" applyBorder="1"/>
    <xf numFmtId="0" fontId="3" fillId="0" borderId="62" xfId="0" applyFont="1" applyBorder="1"/>
    <xf numFmtId="6" fontId="2" fillId="0" borderId="0" xfId="0" applyNumberFormat="1" applyFont="1" applyFill="1" applyBorder="1" applyAlignment="1">
      <alignment horizontal="right"/>
    </xf>
    <xf numFmtId="0" fontId="3" fillId="0" borderId="48" xfId="0" applyFont="1" applyBorder="1" applyAlignment="1">
      <alignment horizontal="left"/>
    </xf>
    <xf numFmtId="0" fontId="2" fillId="0" borderId="53" xfId="0" applyFont="1" applyBorder="1" applyAlignment="1">
      <alignment horizontal="center" wrapText="1"/>
    </xf>
    <xf numFmtId="0" fontId="3" fillId="0" borderId="53" xfId="0" applyFont="1" applyFill="1" applyBorder="1" applyAlignment="1">
      <alignment horizontal="center" wrapText="1"/>
    </xf>
    <xf numFmtId="6" fontId="2" fillId="0" borderId="46" xfId="0" applyNumberFormat="1" applyFont="1" applyFill="1" applyBorder="1" applyAlignment="1">
      <alignment horizontal="right"/>
    </xf>
    <xf numFmtId="0" fontId="3" fillId="0" borderId="55" xfId="0" applyFont="1" applyBorder="1" applyAlignment="1">
      <alignment horizontal="left"/>
    </xf>
    <xf numFmtId="0" fontId="14" fillId="0" borderId="0" xfId="2" applyFont="1" applyFill="1"/>
    <xf numFmtId="0" fontId="14" fillId="0" borderId="56" xfId="8" applyFont="1" applyBorder="1"/>
    <xf numFmtId="0" fontId="14" fillId="0" borderId="57" xfId="2" applyFont="1" applyBorder="1"/>
    <xf numFmtId="0" fontId="14" fillId="0" borderId="57" xfId="2" applyFont="1" applyBorder="1" applyAlignment="1">
      <alignment horizontal="center"/>
    </xf>
    <xf numFmtId="0" fontId="14" fillId="0" borderId="38" xfId="2" applyFont="1" applyBorder="1" applyAlignment="1">
      <alignment horizontal="left"/>
    </xf>
    <xf numFmtId="0" fontId="14" fillId="0" borderId="36" xfId="2" applyFont="1" applyBorder="1" applyAlignment="1">
      <alignment horizontal="center"/>
    </xf>
    <xf numFmtId="0" fontId="7" fillId="0" borderId="38" xfId="2" applyFont="1" applyBorder="1" applyAlignment="1">
      <alignment vertical="center"/>
    </xf>
    <xf numFmtId="0" fontId="7" fillId="0" borderId="36" xfId="2" applyFont="1" applyBorder="1" applyAlignment="1">
      <alignment horizontal="center" vertical="center"/>
    </xf>
    <xf numFmtId="0" fontId="17" fillId="4" borderId="0" xfId="3" applyFont="1" applyFill="1"/>
    <xf numFmtId="0" fontId="0" fillId="0" borderId="0" xfId="0" applyFill="1" applyBorder="1"/>
    <xf numFmtId="0" fontId="0" fillId="0" borderId="0" xfId="0" applyFill="1"/>
    <xf numFmtId="0" fontId="7" fillId="0" borderId="0" xfId="2" applyFont="1" applyBorder="1" applyAlignment="1">
      <alignment horizontal="center" vertical="center"/>
    </xf>
    <xf numFmtId="165" fontId="17" fillId="0" borderId="0" xfId="3" applyNumberFormat="1" applyFont="1"/>
    <xf numFmtId="0" fontId="3" fillId="0" borderId="47" xfId="0" applyFont="1" applyFill="1" applyBorder="1" applyAlignment="1">
      <alignment horizontal="left"/>
    </xf>
    <xf numFmtId="0" fontId="2" fillId="0" borderId="0" xfId="0" applyFont="1" applyBorder="1"/>
    <xf numFmtId="0" fontId="11" fillId="0" borderId="55" xfId="0" applyFont="1" applyBorder="1" applyAlignment="1">
      <alignment horizontal="right" wrapText="1"/>
    </xf>
    <xf numFmtId="0" fontId="11" fillId="0" borderId="55" xfId="0" applyFont="1" applyBorder="1" applyAlignment="1">
      <alignment horizontal="right"/>
    </xf>
    <xf numFmtId="0" fontId="14" fillId="0" borderId="0" xfId="2" applyFont="1" applyFill="1" applyBorder="1"/>
    <xf numFmtId="6" fontId="2" fillId="0" borderId="0" xfId="0" applyNumberFormat="1" applyFont="1" applyBorder="1" applyAlignment="1">
      <alignment horizontal="right"/>
    </xf>
    <xf numFmtId="0" fontId="10" fillId="0" borderId="55" xfId="0" applyFont="1" applyBorder="1" applyAlignment="1">
      <alignment horizontal="left"/>
    </xf>
    <xf numFmtId="6" fontId="2" fillId="0" borderId="0" xfId="0" applyNumberFormat="1" applyFont="1" applyBorder="1"/>
    <xf numFmtId="6" fontId="2" fillId="0" borderId="4" xfId="0" applyNumberFormat="1" applyFont="1" applyBorder="1" applyAlignment="1">
      <alignment horizontal="right"/>
    </xf>
    <xf numFmtId="0" fontId="3" fillId="0" borderId="0" xfId="0" applyFont="1" applyBorder="1" applyAlignment="1">
      <alignment horizontal="left" vertical="center"/>
    </xf>
    <xf numFmtId="0" fontId="14" fillId="5" borderId="0" xfId="2" applyFont="1" applyFill="1"/>
    <xf numFmtId="0" fontId="7" fillId="0" borderId="0" xfId="2" applyFont="1" applyFill="1" applyBorder="1"/>
    <xf numFmtId="38" fontId="7" fillId="0" borderId="0" xfId="2" applyNumberFormat="1" applyFont="1" applyFill="1" applyBorder="1" applyAlignment="1">
      <alignment horizontal="right"/>
    </xf>
    <xf numFmtId="0" fontId="17" fillId="0" borderId="14" xfId="3" applyFont="1" applyBorder="1"/>
    <xf numFmtId="0" fontId="17" fillId="0" borderId="14" xfId="3" applyFont="1" applyFill="1" applyBorder="1"/>
    <xf numFmtId="0" fontId="16" fillId="0" borderId="41" xfId="3" applyFont="1" applyFill="1" applyBorder="1"/>
    <xf numFmtId="0" fontId="17" fillId="0" borderId="41" xfId="3" applyFont="1" applyFill="1" applyBorder="1" applyAlignment="1">
      <alignment horizontal="left" indent="1"/>
    </xf>
    <xf numFmtId="0" fontId="17" fillId="0" borderId="41" xfId="3" applyFont="1" applyFill="1" applyBorder="1" applyAlignment="1">
      <alignment horizontal="right"/>
    </xf>
    <xf numFmtId="0" fontId="17" fillId="0" borderId="0" xfId="3" applyFont="1" applyFill="1"/>
    <xf numFmtId="168" fontId="19" fillId="0" borderId="32" xfId="3" applyNumberFormat="1" applyFont="1" applyFill="1" applyBorder="1"/>
    <xf numFmtId="168" fontId="19" fillId="0" borderId="33" xfId="3" applyNumberFormat="1" applyFont="1" applyFill="1" applyBorder="1"/>
    <xf numFmtId="6" fontId="19" fillId="0" borderId="32" xfId="3" applyNumberFormat="1" applyFont="1" applyFill="1" applyBorder="1"/>
    <xf numFmtId="6" fontId="19" fillId="0" borderId="33" xfId="3" applyNumberFormat="1" applyFont="1" applyFill="1" applyBorder="1"/>
    <xf numFmtId="168" fontId="17" fillId="6" borderId="0" xfId="3" applyNumberFormat="1" applyFont="1" applyFill="1" applyBorder="1"/>
    <xf numFmtId="168" fontId="17" fillId="6" borderId="12" xfId="3" applyNumberFormat="1" applyFont="1" applyFill="1" applyBorder="1"/>
    <xf numFmtId="168" fontId="19" fillId="6" borderId="32" xfId="3" applyNumberFormat="1" applyFont="1" applyFill="1" applyBorder="1"/>
    <xf numFmtId="168" fontId="19" fillId="6" borderId="33" xfId="3" applyNumberFormat="1" applyFont="1" applyFill="1" applyBorder="1"/>
    <xf numFmtId="168" fontId="18" fillId="6" borderId="32" xfId="3" applyNumberFormat="1" applyFont="1" applyFill="1" applyBorder="1"/>
    <xf numFmtId="168" fontId="18" fillId="6" borderId="33" xfId="3" applyNumberFormat="1" applyFont="1" applyFill="1" applyBorder="1"/>
    <xf numFmtId="168" fontId="19" fillId="6" borderId="17" xfId="3" applyNumberFormat="1" applyFont="1" applyFill="1" applyBorder="1"/>
    <xf numFmtId="168" fontId="19" fillId="6" borderId="15" xfId="3" applyNumberFormat="1" applyFont="1" applyFill="1" applyBorder="1"/>
    <xf numFmtId="168" fontId="17" fillId="6" borderId="19" xfId="3" applyNumberFormat="1" applyFont="1" applyFill="1" applyBorder="1"/>
    <xf numFmtId="168" fontId="19" fillId="6" borderId="10" xfId="3" applyNumberFormat="1" applyFont="1" applyFill="1" applyBorder="1"/>
    <xf numFmtId="168" fontId="17" fillId="6" borderId="11" xfId="3" applyNumberFormat="1" applyFont="1" applyFill="1" applyBorder="1"/>
    <xf numFmtId="42" fontId="7" fillId="6" borderId="28" xfId="4" applyNumberFormat="1" applyFont="1" applyFill="1" applyBorder="1" applyAlignment="1">
      <alignment horizontal="right"/>
    </xf>
    <xf numFmtId="38" fontId="7" fillId="6" borderId="28" xfId="2" applyNumberFormat="1" applyFont="1" applyFill="1" applyBorder="1" applyAlignment="1">
      <alignment horizontal="right"/>
    </xf>
    <xf numFmtId="0" fontId="14" fillId="6" borderId="60" xfId="4" applyNumberFormat="1" applyFont="1" applyFill="1" applyBorder="1" applyAlignment="1">
      <alignment horizontal="center"/>
    </xf>
    <xf numFmtId="0" fontId="14" fillId="6" borderId="73" xfId="4" applyNumberFormat="1" applyFont="1" applyFill="1" applyBorder="1" applyAlignment="1">
      <alignment horizontal="center"/>
    </xf>
    <xf numFmtId="42" fontId="7" fillId="6" borderId="29" xfId="4" applyNumberFormat="1" applyFont="1" applyFill="1" applyBorder="1" applyAlignment="1">
      <alignment horizontal="right"/>
    </xf>
    <xf numFmtId="0" fontId="8" fillId="0" borderId="0" xfId="2" applyFont="1" applyFill="1" applyBorder="1"/>
    <xf numFmtId="6" fontId="2" fillId="6" borderId="60" xfId="0" applyNumberFormat="1" applyFont="1" applyFill="1" applyBorder="1" applyAlignment="1">
      <alignment horizontal="right"/>
    </xf>
    <xf numFmtId="6" fontId="3" fillId="6" borderId="60" xfId="0" applyNumberFormat="1" applyFont="1" applyFill="1" applyBorder="1" applyAlignment="1">
      <alignment horizontal="right"/>
    </xf>
    <xf numFmtId="6" fontId="11" fillId="6" borderId="60" xfId="0" applyNumberFormat="1" applyFont="1" applyFill="1" applyBorder="1" applyAlignment="1">
      <alignment horizontal="right"/>
    </xf>
    <xf numFmtId="38" fontId="3" fillId="6" borderId="60" xfId="0" applyNumberFormat="1" applyFont="1" applyFill="1" applyBorder="1" applyAlignment="1">
      <alignment horizontal="right"/>
    </xf>
    <xf numFmtId="38" fontId="11" fillId="6" borderId="60" xfId="0" applyNumberFormat="1" applyFont="1" applyFill="1" applyBorder="1" applyAlignment="1">
      <alignment horizontal="right"/>
    </xf>
    <xf numFmtId="1" fontId="11" fillId="6" borderId="60" xfId="0" applyNumberFormat="1" applyFont="1" applyFill="1" applyBorder="1" applyAlignment="1">
      <alignment horizontal="right"/>
    </xf>
    <xf numFmtId="1" fontId="3" fillId="6" borderId="60" xfId="0" applyNumberFormat="1" applyFont="1" applyFill="1" applyBorder="1" applyAlignment="1">
      <alignment horizontal="right"/>
    </xf>
    <xf numFmtId="0" fontId="16" fillId="0" borderId="41" xfId="3" applyFont="1" applyFill="1" applyBorder="1" applyAlignment="1">
      <alignment horizontal="right" indent="1"/>
    </xf>
    <xf numFmtId="0" fontId="16" fillId="0" borderId="16" xfId="3" applyFont="1" applyFill="1" applyBorder="1" applyAlignment="1">
      <alignment horizontal="right" indent="1"/>
    </xf>
    <xf numFmtId="0" fontId="16" fillId="0" borderId="11" xfId="3" applyFont="1" applyFill="1" applyBorder="1" applyAlignment="1">
      <alignment horizontal="right"/>
    </xf>
    <xf numFmtId="0" fontId="8" fillId="6" borderId="0" xfId="0" applyFont="1" applyFill="1" applyBorder="1" applyAlignment="1">
      <alignment horizontal="right"/>
    </xf>
    <xf numFmtId="1" fontId="24" fillId="6" borderId="0" xfId="0" applyNumberFormat="1" applyFont="1" applyFill="1" applyBorder="1"/>
    <xf numFmtId="0" fontId="28" fillId="0" borderId="0" xfId="2" applyFont="1"/>
    <xf numFmtId="0" fontId="28" fillId="0" borderId="14" xfId="2" applyFont="1" applyBorder="1"/>
    <xf numFmtId="0" fontId="28" fillId="0" borderId="44" xfId="2" applyFont="1" applyBorder="1" applyAlignment="1">
      <alignment horizontal="right"/>
    </xf>
    <xf numFmtId="0" fontId="28" fillId="0" borderId="13" xfId="2" applyFont="1" applyBorder="1" applyAlignment="1">
      <alignment horizontal="right"/>
    </xf>
    <xf numFmtId="0" fontId="28" fillId="0" borderId="13" xfId="2" applyFont="1" applyBorder="1"/>
    <xf numFmtId="0" fontId="29" fillId="0" borderId="14" xfId="2" applyFont="1" applyBorder="1"/>
    <xf numFmtId="0" fontId="28" fillId="0" borderId="44" xfId="2" applyFont="1" applyBorder="1"/>
    <xf numFmtId="0" fontId="29" fillId="0" borderId="14" xfId="2" applyFont="1" applyBorder="1" applyAlignment="1">
      <alignment horizontal="left" indent="1"/>
    </xf>
    <xf numFmtId="38" fontId="28" fillId="0" borderId="44" xfId="2" applyNumberFormat="1" applyFont="1" applyBorder="1"/>
    <xf numFmtId="38" fontId="28" fillId="0" borderId="13" xfId="2" applyNumberFormat="1" applyFont="1" applyBorder="1"/>
    <xf numFmtId="0" fontId="28" fillId="0" borderId="14" xfId="2" applyFont="1" applyBorder="1" applyAlignment="1">
      <alignment horizontal="left" indent="2"/>
    </xf>
    <xf numFmtId="6" fontId="28" fillId="0" borderId="13" xfId="2" applyNumberFormat="1" applyFont="1" applyBorder="1"/>
    <xf numFmtId="6" fontId="28" fillId="0" borderId="44" xfId="2" applyNumberFormat="1" applyFont="1" applyBorder="1"/>
    <xf numFmtId="38" fontId="28" fillId="0" borderId="0" xfId="2" applyNumberFormat="1" applyFont="1"/>
    <xf numFmtId="0" fontId="29" fillId="0" borderId="25" xfId="2" applyFont="1" applyBorder="1"/>
    <xf numFmtId="38" fontId="28" fillId="0" borderId="9" xfId="2" applyNumberFormat="1" applyFont="1" applyBorder="1"/>
    <xf numFmtId="38" fontId="28" fillId="0" borderId="26" xfId="2" applyNumberFormat="1" applyFont="1" applyBorder="1"/>
    <xf numFmtId="0" fontId="28" fillId="0" borderId="26" xfId="2" applyFont="1" applyBorder="1"/>
    <xf numFmtId="6" fontId="28" fillId="6" borderId="13" xfId="2" applyNumberFormat="1" applyFont="1" applyFill="1" applyBorder="1"/>
    <xf numFmtId="6" fontId="28" fillId="6" borderId="40" xfId="2" applyNumberFormat="1" applyFont="1" applyFill="1" applyBorder="1"/>
    <xf numFmtId="0" fontId="32" fillId="0" borderId="39" xfId="2" applyFont="1" applyFill="1" applyBorder="1" applyAlignment="1">
      <alignment horizontal="right" indent="1"/>
    </xf>
    <xf numFmtId="6" fontId="30" fillId="6" borderId="42" xfId="2" applyNumberFormat="1" applyFont="1" applyFill="1" applyBorder="1"/>
    <xf numFmtId="0" fontId="30" fillId="0" borderId="41" xfId="2" applyFont="1" applyFill="1" applyBorder="1" applyAlignment="1">
      <alignment horizontal="right"/>
    </xf>
    <xf numFmtId="0" fontId="29" fillId="0" borderId="14" xfId="2" applyFont="1" applyFill="1" applyBorder="1" applyAlignment="1">
      <alignment horizontal="left" indent="1"/>
    </xf>
    <xf numFmtId="0" fontId="28" fillId="0" borderId="14" xfId="2" applyFont="1" applyFill="1" applyBorder="1" applyAlignment="1">
      <alignment horizontal="left" indent="2"/>
    </xf>
    <xf numFmtId="0" fontId="28" fillId="0" borderId="14" xfId="2" applyFont="1" applyFill="1" applyBorder="1"/>
    <xf numFmtId="0" fontId="31" fillId="0" borderId="14" xfId="2" applyFont="1" applyFill="1" applyBorder="1" applyAlignment="1">
      <alignment horizontal="left" indent="1"/>
    </xf>
    <xf numFmtId="0" fontId="28" fillId="0" borderId="14" xfId="2" applyFont="1" applyFill="1" applyBorder="1" applyAlignment="1">
      <alignment horizontal="left" indent="3"/>
    </xf>
    <xf numFmtId="169" fontId="28" fillId="6" borderId="30" xfId="2" applyNumberFormat="1" applyFont="1" applyFill="1" applyBorder="1"/>
    <xf numFmtId="169" fontId="30" fillId="6" borderId="40" xfId="2" applyNumberFormat="1" applyFont="1" applyFill="1" applyBorder="1"/>
    <xf numFmtId="6" fontId="28" fillId="6" borderId="30" xfId="2" applyNumberFormat="1" applyFont="1" applyFill="1" applyBorder="1"/>
    <xf numFmtId="6" fontId="28" fillId="6" borderId="35" xfId="2" applyNumberFormat="1" applyFont="1" applyFill="1" applyBorder="1"/>
    <xf numFmtId="6" fontId="28" fillId="6" borderId="42" xfId="2" applyNumberFormat="1" applyFont="1" applyFill="1" applyBorder="1"/>
    <xf numFmtId="0" fontId="32" fillId="0" borderId="41" xfId="2" applyFont="1" applyFill="1" applyBorder="1" applyAlignment="1">
      <alignment horizontal="right"/>
    </xf>
    <xf numFmtId="0" fontId="32" fillId="0" borderId="41" xfId="2" applyFont="1" applyFill="1" applyBorder="1" applyAlignment="1">
      <alignment horizontal="right" indent="3"/>
    </xf>
    <xf numFmtId="6" fontId="2" fillId="0" borderId="60" xfId="0" applyNumberFormat="1" applyFont="1" applyFill="1" applyBorder="1" applyAlignment="1">
      <alignment horizontal="left"/>
    </xf>
    <xf numFmtId="6" fontId="2" fillId="0" borderId="60" xfId="0" quotePrefix="1" applyNumberFormat="1" applyFont="1" applyFill="1" applyBorder="1" applyAlignment="1">
      <alignment horizontal="left" wrapText="1"/>
    </xf>
    <xf numFmtId="6" fontId="2" fillId="0" borderId="58" xfId="0" applyNumberFormat="1" applyFont="1" applyFill="1" applyBorder="1"/>
    <xf numFmtId="6" fontId="2" fillId="0" borderId="60" xfId="0" applyNumberFormat="1" applyFont="1" applyFill="1" applyBorder="1" applyAlignment="1">
      <alignment horizontal="left" wrapText="1"/>
    </xf>
    <xf numFmtId="6" fontId="2" fillId="0" borderId="58" xfId="0" quotePrefix="1" applyNumberFormat="1" applyFont="1" applyFill="1" applyBorder="1"/>
    <xf numFmtId="0" fontId="0" fillId="0" borderId="0" xfId="0" applyBorder="1"/>
    <xf numFmtId="0" fontId="11" fillId="0" borderId="0" xfId="0" applyFont="1" applyBorder="1" applyAlignment="1">
      <alignment horizontal="left"/>
    </xf>
    <xf numFmtId="0" fontId="3" fillId="0" borderId="0" xfId="0" applyFont="1" applyBorder="1" applyAlignment="1">
      <alignment horizontal="left"/>
    </xf>
    <xf numFmtId="44" fontId="0" fillId="0" borderId="0" xfId="15" applyFont="1"/>
    <xf numFmtId="8" fontId="12" fillId="7" borderId="15" xfId="2" applyNumberFormat="1" applyFont="1" applyFill="1" applyBorder="1" applyAlignment="1">
      <alignment horizontal="right" vertical="center"/>
    </xf>
    <xf numFmtId="40" fontId="6" fillId="6" borderId="83" xfId="2" applyNumberFormat="1" applyFont="1" applyFill="1" applyBorder="1" applyAlignment="1">
      <alignment vertical="center"/>
    </xf>
    <xf numFmtId="8" fontId="7" fillId="0" borderId="82" xfId="2" applyNumberFormat="1" applyBorder="1" applyAlignment="1">
      <alignment vertical="center"/>
    </xf>
    <xf numFmtId="0" fontId="7" fillId="0" borderId="84" xfId="2" applyBorder="1" applyAlignment="1">
      <alignment horizontal="center" vertical="center"/>
    </xf>
    <xf numFmtId="40" fontId="6" fillId="6" borderId="86" xfId="2" applyNumberFormat="1" applyFont="1" applyFill="1" applyBorder="1" applyAlignment="1">
      <alignment vertical="center"/>
    </xf>
    <xf numFmtId="8" fontId="7" fillId="0" borderId="85" xfId="2" applyNumberFormat="1" applyBorder="1" applyAlignment="1">
      <alignment vertical="center"/>
    </xf>
    <xf numFmtId="173" fontId="0" fillId="0" borderId="0" xfId="0" applyNumberFormat="1"/>
    <xf numFmtId="0" fontId="7" fillId="0" borderId="0" xfId="2" applyAlignment="1">
      <alignment vertical="center"/>
    </xf>
    <xf numFmtId="9" fontId="0" fillId="0" borderId="0" xfId="12" applyFont="1" applyAlignment="1">
      <alignment vertical="center"/>
    </xf>
    <xf numFmtId="171" fontId="15" fillId="0" borderId="24" xfId="2" applyNumberFormat="1" applyFont="1" applyFill="1" applyBorder="1" applyAlignment="1">
      <alignment vertical="center"/>
    </xf>
    <xf numFmtId="171" fontId="24" fillId="6" borderId="6" xfId="2" applyNumberFormat="1" applyFont="1" applyFill="1" applyBorder="1" applyAlignment="1">
      <alignment vertical="center"/>
    </xf>
    <xf numFmtId="171" fontId="24" fillId="6" borderId="8" xfId="2" applyNumberFormat="1" applyFont="1" applyFill="1" applyBorder="1" applyAlignment="1">
      <alignment vertical="center"/>
    </xf>
    <xf numFmtId="171" fontId="15" fillId="0" borderId="15" xfId="2" applyNumberFormat="1" applyFont="1" applyFill="1" applyBorder="1" applyAlignment="1">
      <alignment vertical="center"/>
    </xf>
    <xf numFmtId="171" fontId="24" fillId="6" borderId="21" xfId="2" applyNumberFormat="1" applyFont="1" applyFill="1" applyBorder="1" applyAlignment="1">
      <alignment vertical="center"/>
    </xf>
    <xf numFmtId="171" fontId="24" fillId="6" borderId="45" xfId="2" applyNumberFormat="1" applyFont="1" applyFill="1" applyBorder="1" applyAlignment="1">
      <alignment vertical="center"/>
    </xf>
    <xf numFmtId="171" fontId="8" fillId="6" borderId="24" xfId="2" applyNumberFormat="1" applyFont="1" applyFill="1" applyBorder="1" applyAlignment="1">
      <alignment vertical="center"/>
    </xf>
    <xf numFmtId="0" fontId="24" fillId="6" borderId="24" xfId="2" applyFont="1" applyFill="1" applyBorder="1" applyAlignment="1">
      <alignment horizontal="right" vertical="center"/>
    </xf>
    <xf numFmtId="171" fontId="24" fillId="6" borderId="14" xfId="2" applyNumberFormat="1" applyFont="1" applyFill="1" applyBorder="1" applyAlignment="1">
      <alignment vertical="center"/>
    </xf>
    <xf numFmtId="171" fontId="8" fillId="6" borderId="22" xfId="2" applyNumberFormat="1" applyFont="1" applyFill="1" applyBorder="1" applyAlignment="1">
      <alignment vertical="center"/>
    </xf>
    <xf numFmtId="171" fontId="8" fillId="6" borderId="43" xfId="2" applyNumberFormat="1" applyFont="1" applyFill="1" applyBorder="1" applyAlignment="1">
      <alignment vertical="center"/>
    </xf>
    <xf numFmtId="171" fontId="8" fillId="6" borderId="15" xfId="2" applyNumberFormat="1" applyFont="1" applyFill="1" applyBorder="1" applyAlignment="1">
      <alignment vertical="center"/>
    </xf>
    <xf numFmtId="164" fontId="24" fillId="6" borderId="15" xfId="13" applyNumberFormat="1" applyFont="1" applyFill="1" applyBorder="1" applyAlignment="1">
      <alignment horizontal="right" vertical="center"/>
    </xf>
    <xf numFmtId="171" fontId="24" fillId="6" borderId="15" xfId="2" applyNumberFormat="1" applyFont="1" applyFill="1" applyBorder="1" applyAlignment="1">
      <alignment vertical="center"/>
    </xf>
    <xf numFmtId="171" fontId="8" fillId="6" borderId="45" xfId="2" applyNumberFormat="1" applyFont="1" applyFill="1" applyBorder="1" applyAlignment="1">
      <alignment vertical="center"/>
    </xf>
    <xf numFmtId="171" fontId="7" fillId="6" borderId="0" xfId="2" applyNumberFormat="1" applyFont="1" applyFill="1" applyBorder="1" applyAlignment="1">
      <alignment vertical="center"/>
    </xf>
    <xf numFmtId="171" fontId="15" fillId="0" borderId="12" xfId="2" applyNumberFormat="1" applyFont="1" applyFill="1" applyBorder="1" applyAlignment="1">
      <alignment vertical="center"/>
    </xf>
    <xf numFmtId="171" fontId="7" fillId="6" borderId="4" xfId="2" applyNumberFormat="1" applyFont="1" applyFill="1" applyBorder="1" applyAlignment="1">
      <alignment vertical="center"/>
    </xf>
    <xf numFmtId="171" fontId="15" fillId="0" borderId="69" xfId="2" applyNumberFormat="1" applyFont="1" applyFill="1" applyBorder="1" applyAlignment="1">
      <alignment vertical="center"/>
    </xf>
    <xf numFmtId="171" fontId="7" fillId="6" borderId="46" xfId="2" applyNumberFormat="1" applyFont="1" applyFill="1" applyBorder="1" applyAlignment="1">
      <alignment vertical="center"/>
    </xf>
    <xf numFmtId="171" fontId="15" fillId="0" borderId="67" xfId="2" applyNumberFormat="1" applyFont="1" applyFill="1" applyBorder="1" applyAlignment="1">
      <alignment vertical="center"/>
    </xf>
    <xf numFmtId="171" fontId="8" fillId="6" borderId="12" xfId="2" applyNumberFormat="1" applyFont="1" applyFill="1" applyBorder="1" applyAlignment="1">
      <alignment vertical="center"/>
    </xf>
    <xf numFmtId="171" fontId="8" fillId="6" borderId="0" xfId="2" applyNumberFormat="1" applyFont="1" applyFill="1" applyBorder="1" applyAlignment="1">
      <alignment vertical="center"/>
    </xf>
    <xf numFmtId="171" fontId="8" fillId="6" borderId="17" xfId="2" applyNumberFormat="1" applyFont="1" applyFill="1" applyBorder="1" applyAlignment="1">
      <alignment vertical="center"/>
    </xf>
    <xf numFmtId="171" fontId="8" fillId="6" borderId="21" xfId="2" applyNumberFormat="1" applyFont="1" applyFill="1" applyBorder="1" applyAlignment="1">
      <alignment vertical="center"/>
    </xf>
    <xf numFmtId="171" fontId="7" fillId="4" borderId="0" xfId="2" quotePrefix="1" applyNumberFormat="1" applyFont="1" applyFill="1" applyBorder="1" applyAlignment="1">
      <alignment vertical="center"/>
    </xf>
    <xf numFmtId="171" fontId="15" fillId="4" borderId="7" xfId="2" applyNumberFormat="1" applyFont="1" applyFill="1" applyBorder="1" applyAlignment="1">
      <alignment vertical="center"/>
    </xf>
    <xf numFmtId="171" fontId="15" fillId="4" borderId="19" xfId="2" applyNumberFormat="1" applyFont="1" applyFill="1" applyBorder="1" applyAlignment="1">
      <alignment vertical="center"/>
    </xf>
    <xf numFmtId="164" fontId="15" fillId="4" borderId="19" xfId="2" applyNumberFormat="1" applyFont="1" applyFill="1" applyBorder="1" applyAlignment="1">
      <alignment vertical="center"/>
    </xf>
    <xf numFmtId="171" fontId="15" fillId="4" borderId="10" xfId="2" applyNumberFormat="1" applyFont="1" applyFill="1" applyBorder="1" applyAlignment="1">
      <alignment vertical="center"/>
    </xf>
    <xf numFmtId="164" fontId="15" fillId="4" borderId="74" xfId="2" applyNumberFormat="1" applyFont="1" applyFill="1" applyBorder="1" applyAlignment="1">
      <alignment vertical="center"/>
    </xf>
    <xf numFmtId="164" fontId="15" fillId="4" borderId="75" xfId="2" applyNumberFormat="1" applyFont="1" applyFill="1" applyBorder="1" applyAlignment="1">
      <alignment vertical="center"/>
    </xf>
    <xf numFmtId="171" fontId="24" fillId="6" borderId="88" xfId="2" applyNumberFormat="1" applyFont="1" applyFill="1" applyBorder="1" applyAlignment="1">
      <alignment vertical="center"/>
    </xf>
    <xf numFmtId="171" fontId="24" fillId="6" borderId="89" xfId="2" applyNumberFormat="1" applyFont="1" applyFill="1" applyBorder="1" applyAlignment="1">
      <alignment vertical="center"/>
    </xf>
    <xf numFmtId="171" fontId="8" fillId="6" borderId="1" xfId="2" applyNumberFormat="1" applyFont="1" applyFill="1" applyBorder="1" applyAlignment="1">
      <alignment vertical="center"/>
    </xf>
    <xf numFmtId="171" fontId="8" fillId="6" borderId="89" xfId="2" applyNumberFormat="1" applyFont="1" applyFill="1" applyBorder="1" applyAlignment="1">
      <alignment vertical="center"/>
    </xf>
    <xf numFmtId="171" fontId="24" fillId="6" borderId="9" xfId="2" applyNumberFormat="1" applyFont="1" applyFill="1" applyBorder="1" applyAlignment="1">
      <alignment vertical="center"/>
    </xf>
    <xf numFmtId="171" fontId="24" fillId="6" borderId="23" xfId="2" applyNumberFormat="1" applyFont="1" applyFill="1" applyBorder="1" applyAlignment="1">
      <alignment vertical="center"/>
    </xf>
    <xf numFmtId="171" fontId="8" fillId="6" borderId="44" xfId="2" applyNumberFormat="1" applyFont="1" applyFill="1" applyBorder="1" applyAlignment="1">
      <alignment vertical="center"/>
    </xf>
    <xf numFmtId="171" fontId="8" fillId="6" borderId="23" xfId="2" applyNumberFormat="1" applyFont="1" applyFill="1" applyBorder="1" applyAlignment="1">
      <alignment vertical="center"/>
    </xf>
    <xf numFmtId="171" fontId="24" fillId="6" borderId="7" xfId="2" applyNumberFormat="1" applyFont="1" applyFill="1" applyBorder="1" applyAlignment="1">
      <alignment vertical="center"/>
    </xf>
    <xf numFmtId="171" fontId="24" fillId="6" borderId="17" xfId="2" applyNumberFormat="1" applyFont="1" applyFill="1" applyBorder="1" applyAlignment="1">
      <alignment vertical="center"/>
    </xf>
    <xf numFmtId="171" fontId="8" fillId="6" borderId="26" xfId="2" applyNumberFormat="1" applyFont="1" applyFill="1" applyBorder="1" applyAlignment="1">
      <alignment vertical="center"/>
    </xf>
    <xf numFmtId="171" fontId="8" fillId="6" borderId="18" xfId="2" applyNumberFormat="1" applyFont="1" applyFill="1" applyBorder="1" applyAlignment="1">
      <alignment vertical="center"/>
    </xf>
    <xf numFmtId="171" fontId="7" fillId="6" borderId="18" xfId="2" applyNumberFormat="1" applyFont="1" applyFill="1" applyBorder="1" applyAlignment="1">
      <alignment vertical="center"/>
    </xf>
    <xf numFmtId="0" fontId="7" fillId="0" borderId="0" xfId="2" applyFill="1" applyAlignment="1">
      <alignment vertical="center"/>
    </xf>
    <xf numFmtId="9" fontId="0" fillId="0" borderId="0" xfId="12" applyFont="1" applyFill="1" applyAlignment="1">
      <alignment vertical="center"/>
    </xf>
    <xf numFmtId="9" fontId="0" fillId="0" borderId="0" xfId="0" applyNumberFormat="1"/>
    <xf numFmtId="10" fontId="0" fillId="0" borderId="0" xfId="0" applyNumberFormat="1"/>
    <xf numFmtId="6" fontId="10" fillId="6" borderId="60" xfId="0" applyNumberFormat="1" applyFont="1" applyFill="1" applyBorder="1" applyAlignment="1">
      <alignment horizontal="right"/>
    </xf>
    <xf numFmtId="38" fontId="11" fillId="0" borderId="79" xfId="0" applyNumberFormat="1" applyFont="1" applyBorder="1" applyAlignment="1">
      <alignment horizontal="right"/>
    </xf>
    <xf numFmtId="0" fontId="3" fillId="0" borderId="4" xfId="0" applyFont="1" applyBorder="1" applyAlignment="1">
      <alignment horizontal="left"/>
    </xf>
    <xf numFmtId="6" fontId="2" fillId="0" borderId="4" xfId="0" applyNumberFormat="1" applyFont="1" applyFill="1" applyBorder="1" applyAlignment="1">
      <alignment horizontal="right"/>
    </xf>
    <xf numFmtId="0" fontId="10" fillId="0" borderId="60" xfId="0" applyFont="1" applyBorder="1" applyAlignment="1">
      <alignment horizontal="left"/>
    </xf>
    <xf numFmtId="6" fontId="11" fillId="6" borderId="37" xfId="0" applyNumberFormat="1" applyFont="1" applyFill="1" applyBorder="1" applyAlignment="1">
      <alignment horizontal="right"/>
    </xf>
    <xf numFmtId="0" fontId="3" fillId="0" borderId="60" xfId="0" applyFont="1" applyBorder="1" applyAlignment="1">
      <alignment horizontal="left"/>
    </xf>
    <xf numFmtId="6" fontId="11" fillId="6" borderId="56" xfId="0" applyNumberFormat="1" applyFont="1" applyFill="1" applyBorder="1" applyAlignment="1">
      <alignment horizontal="right"/>
    </xf>
    <xf numFmtId="6" fontId="3" fillId="6" borderId="56" xfId="0" applyNumberFormat="1" applyFont="1" applyFill="1" applyBorder="1" applyAlignment="1">
      <alignment horizontal="right"/>
    </xf>
    <xf numFmtId="6" fontId="11" fillId="6" borderId="38" xfId="0" applyNumberFormat="1" applyFont="1" applyFill="1" applyBorder="1" applyAlignment="1">
      <alignment horizontal="right"/>
    </xf>
    <xf numFmtId="0" fontId="11" fillId="0" borderId="60" xfId="0" applyFont="1" applyBorder="1" applyAlignment="1">
      <alignment horizontal="right"/>
    </xf>
    <xf numFmtId="0" fontId="10" fillId="0" borderId="60" xfId="0" applyFont="1" applyFill="1" applyBorder="1" applyAlignment="1">
      <alignment horizontal="left"/>
    </xf>
    <xf numFmtId="0" fontId="11" fillId="0" borderId="60" xfId="0" applyFont="1" applyFill="1" applyBorder="1" applyAlignment="1">
      <alignment horizontal="right"/>
    </xf>
    <xf numFmtId="0" fontId="3" fillId="0" borderId="60" xfId="0" applyFont="1" applyFill="1" applyBorder="1" applyAlignment="1">
      <alignment horizontal="left"/>
    </xf>
    <xf numFmtId="0" fontId="3" fillId="0" borderId="46" xfId="0" applyFont="1" applyBorder="1" applyAlignment="1">
      <alignment horizontal="left"/>
    </xf>
    <xf numFmtId="38" fontId="3" fillId="0" borderId="60" xfId="0" applyNumberFormat="1" applyFont="1" applyBorder="1" applyAlignment="1">
      <alignment horizontal="left"/>
    </xf>
    <xf numFmtId="0" fontId="11" fillId="0" borderId="60" xfId="0" applyFont="1" applyBorder="1" applyAlignment="1">
      <alignment horizontal="right" wrapText="1"/>
    </xf>
    <xf numFmtId="6" fontId="3" fillId="0" borderId="60" xfId="0" applyNumberFormat="1" applyFont="1" applyBorder="1" applyAlignment="1">
      <alignment horizontal="left"/>
    </xf>
    <xf numFmtId="0" fontId="2" fillId="2" borderId="53" xfId="0" applyFont="1" applyFill="1" applyBorder="1" applyAlignment="1">
      <alignment horizontal="center" wrapText="1"/>
    </xf>
    <xf numFmtId="0" fontId="3" fillId="2" borderId="53" xfId="0" applyFont="1" applyFill="1" applyBorder="1" applyAlignment="1">
      <alignment horizontal="center" wrapText="1"/>
    </xf>
    <xf numFmtId="6" fontId="11" fillId="3" borderId="60" xfId="0" applyNumberFormat="1" applyFont="1" applyFill="1" applyBorder="1" applyAlignment="1">
      <alignment horizontal="right"/>
    </xf>
    <xf numFmtId="8" fontId="12" fillId="2" borderId="24" xfId="2" applyNumberFormat="1" applyFont="1" applyFill="1" applyBorder="1" applyAlignment="1">
      <alignment horizontal="right" vertical="center"/>
    </xf>
    <xf numFmtId="8" fontId="12" fillId="2" borderId="26" xfId="2" applyNumberFormat="1" applyFont="1" applyFill="1" applyBorder="1" applyAlignment="1">
      <alignment horizontal="left" vertical="center"/>
    </xf>
    <xf numFmtId="0" fontId="12" fillId="2" borderId="16" xfId="2" applyFont="1" applyFill="1" applyBorder="1" applyAlignment="1">
      <alignment horizontal="center" vertical="center"/>
    </xf>
    <xf numFmtId="0" fontId="12" fillId="2" borderId="17" xfId="2" applyFont="1" applyFill="1" applyBorder="1" applyAlignment="1">
      <alignment vertical="center"/>
    </xf>
    <xf numFmtId="8" fontId="12" fillId="2" borderId="15" xfId="2" applyNumberFormat="1" applyFont="1" applyFill="1" applyBorder="1" applyAlignment="1">
      <alignment horizontal="right" vertical="center"/>
    </xf>
    <xf numFmtId="8" fontId="12" fillId="2" borderId="18" xfId="2" applyNumberFormat="1" applyFont="1" applyFill="1" applyBorder="1" applyAlignment="1">
      <alignment horizontal="left" vertical="center"/>
    </xf>
    <xf numFmtId="170" fontId="20" fillId="0" borderId="18" xfId="2" applyNumberFormat="1" applyFont="1" applyFill="1" applyBorder="1" applyAlignment="1">
      <alignment horizontal="right" vertical="center"/>
    </xf>
    <xf numFmtId="0" fontId="7" fillId="0" borderId="18" xfId="2" applyFill="1" applyBorder="1" applyAlignment="1">
      <alignment vertical="center"/>
    </xf>
    <xf numFmtId="0" fontId="12" fillId="0" borderId="16" xfId="2" applyFont="1" applyFill="1" applyBorder="1" applyAlignment="1">
      <alignment horizontal="left" vertical="center"/>
    </xf>
    <xf numFmtId="0" fontId="33" fillId="0" borderId="25" xfId="2" applyFont="1" applyFill="1" applyBorder="1" applyAlignment="1">
      <alignment vertical="center"/>
    </xf>
    <xf numFmtId="0" fontId="7" fillId="0" borderId="16" xfId="2" applyFill="1" applyBorder="1" applyAlignment="1">
      <alignment vertical="center"/>
    </xf>
    <xf numFmtId="17" fontId="12" fillId="2" borderId="6" xfId="2" applyNumberFormat="1" applyFont="1" applyFill="1" applyBorder="1" applyAlignment="1">
      <alignment horizontal="right" vertical="center"/>
    </xf>
    <xf numFmtId="17" fontId="12" fillId="2" borderId="8" xfId="2" applyNumberFormat="1" applyFont="1" applyFill="1" applyBorder="1" applyAlignment="1">
      <alignment horizontal="right" vertical="center"/>
    </xf>
    <xf numFmtId="8" fontId="12" fillId="2" borderId="21" xfId="2" applyNumberFormat="1" applyFont="1" applyFill="1" applyBorder="1" applyAlignment="1">
      <alignment horizontal="right" vertical="center"/>
    </xf>
    <xf numFmtId="8" fontId="12" fillId="2" borderId="45" xfId="2" applyNumberFormat="1" applyFont="1" applyFill="1" applyBorder="1" applyAlignment="1">
      <alignment horizontal="right" vertical="center"/>
    </xf>
    <xf numFmtId="8" fontId="12" fillId="2" borderId="23" xfId="2" applyNumberFormat="1" applyFont="1" applyFill="1" applyBorder="1" applyAlignment="1">
      <alignment horizontal="right" vertical="center"/>
    </xf>
    <xf numFmtId="8" fontId="7" fillId="3" borderId="28" xfId="2" applyNumberFormat="1" applyFill="1" applyBorder="1" applyAlignment="1">
      <alignment vertical="center"/>
    </xf>
    <xf numFmtId="8" fontId="7" fillId="3" borderId="60" xfId="2" applyNumberFormat="1" applyFill="1" applyBorder="1" applyAlignment="1">
      <alignment vertical="center"/>
    </xf>
    <xf numFmtId="8" fontId="7" fillId="3" borderId="30" xfId="2" applyNumberFormat="1" applyFill="1" applyBorder="1" applyAlignment="1">
      <alignment vertical="center"/>
    </xf>
    <xf numFmtId="8" fontId="7" fillId="3" borderId="76" xfId="2" applyNumberFormat="1" applyFill="1" applyBorder="1" applyAlignment="1">
      <alignment vertical="center"/>
    </xf>
    <xf numFmtId="8" fontId="7" fillId="3" borderId="37" xfId="2" applyNumberFormat="1" applyFill="1" applyBorder="1" applyAlignment="1">
      <alignment vertical="center"/>
    </xf>
    <xf numFmtId="8" fontId="7" fillId="3" borderId="66" xfId="2" applyNumberFormat="1" applyFill="1" applyBorder="1" applyAlignment="1">
      <alignment vertical="center"/>
    </xf>
    <xf numFmtId="0" fontId="7" fillId="0" borderId="90" xfId="2" applyBorder="1" applyAlignment="1">
      <alignment horizontal="center" vertical="center"/>
    </xf>
    <xf numFmtId="8" fontId="7" fillId="0" borderId="91" xfId="2" applyNumberFormat="1" applyBorder="1" applyAlignment="1">
      <alignment vertical="center"/>
    </xf>
    <xf numFmtId="0" fontId="12" fillId="2" borderId="14" xfId="2" applyFont="1" applyFill="1" applyBorder="1" applyAlignment="1">
      <alignment horizontal="center" vertical="center"/>
    </xf>
    <xf numFmtId="0" fontId="12" fillId="2" borderId="0" xfId="2" applyFont="1" applyFill="1" applyBorder="1" applyAlignment="1">
      <alignment vertical="center"/>
    </xf>
    <xf numFmtId="8" fontId="12" fillId="2" borderId="12" xfId="2" applyNumberFormat="1" applyFont="1" applyFill="1" applyBorder="1" applyAlignment="1">
      <alignment horizontal="right" vertical="center"/>
    </xf>
    <xf numFmtId="8" fontId="12" fillId="2" borderId="13" xfId="2" applyNumberFormat="1" applyFont="1" applyFill="1" applyBorder="1" applyAlignment="1">
      <alignment horizontal="left" vertical="center"/>
    </xf>
    <xf numFmtId="0" fontId="33" fillId="0" borderId="14" xfId="2" applyFont="1" applyFill="1" applyBorder="1" applyAlignment="1">
      <alignment vertical="center"/>
    </xf>
    <xf numFmtId="0" fontId="1" fillId="0" borderId="0" xfId="2" applyFont="1" applyFill="1" applyBorder="1" applyAlignment="1">
      <alignment vertical="center"/>
    </xf>
    <xf numFmtId="0" fontId="7" fillId="0" borderId="13" xfId="2" applyFill="1" applyBorder="1" applyAlignment="1">
      <alignment vertical="center"/>
    </xf>
    <xf numFmtId="0" fontId="7" fillId="0" borderId="92" xfId="2" applyBorder="1" applyAlignment="1">
      <alignment vertical="center"/>
    </xf>
    <xf numFmtId="0" fontId="7" fillId="0" borderId="93" xfId="2" applyBorder="1" applyAlignment="1">
      <alignment vertical="center"/>
    </xf>
    <xf numFmtId="0" fontId="7" fillId="0" borderId="94" xfId="2" applyBorder="1" applyAlignment="1">
      <alignment vertical="center"/>
    </xf>
    <xf numFmtId="0" fontId="12" fillId="0" borderId="17" xfId="2" applyFont="1" applyFill="1" applyBorder="1" applyAlignment="1">
      <alignment horizontal="right" vertical="center"/>
    </xf>
    <xf numFmtId="8" fontId="7" fillId="3" borderId="80" xfId="2" applyNumberFormat="1" applyFill="1" applyBorder="1" applyAlignment="1">
      <alignment vertical="center"/>
    </xf>
    <xf numFmtId="8" fontId="7" fillId="3" borderId="72" xfId="2" applyNumberFormat="1" applyFill="1" applyBorder="1" applyAlignment="1">
      <alignment vertical="center"/>
    </xf>
    <xf numFmtId="8" fontId="7" fillId="3" borderId="81" xfId="2" applyNumberFormat="1" applyFill="1" applyBorder="1" applyAlignment="1">
      <alignment vertical="center"/>
    </xf>
    <xf numFmtId="8" fontId="12" fillId="7" borderId="31" xfId="2" applyNumberFormat="1" applyFont="1" applyFill="1" applyBorder="1" applyAlignment="1">
      <alignment horizontal="right" vertical="center"/>
    </xf>
    <xf numFmtId="8" fontId="12" fillId="7" borderId="34" xfId="2" applyNumberFormat="1" applyFont="1" applyFill="1" applyBorder="1" applyAlignment="1">
      <alignment horizontal="right" vertical="center"/>
    </xf>
    <xf numFmtId="8" fontId="12" fillId="7" borderId="35" xfId="2" applyNumberFormat="1" applyFont="1" applyFill="1" applyBorder="1" applyAlignment="1">
      <alignment horizontal="right" vertical="center"/>
    </xf>
    <xf numFmtId="8" fontId="8" fillId="6" borderId="31" xfId="2" applyNumberFormat="1" applyFont="1" applyFill="1" applyBorder="1" applyAlignment="1">
      <alignment vertical="center"/>
    </xf>
    <xf numFmtId="0" fontId="24" fillId="2" borderId="10" xfId="2" applyFont="1" applyFill="1" applyBorder="1" applyAlignment="1">
      <alignment vertical="center"/>
    </xf>
    <xf numFmtId="164" fontId="24" fillId="2" borderId="24" xfId="13" applyNumberFormat="1" applyFont="1" applyFill="1" applyBorder="1" applyAlignment="1">
      <alignment horizontal="center" vertical="center"/>
    </xf>
    <xf numFmtId="0" fontId="24" fillId="2" borderId="25" xfId="2" applyFont="1" applyFill="1" applyBorder="1" applyAlignment="1">
      <alignment horizontal="center" vertical="center"/>
    </xf>
    <xf numFmtId="0" fontId="24" fillId="2" borderId="10" xfId="2" applyFont="1" applyFill="1" applyBorder="1" applyAlignment="1">
      <alignment horizontal="center" vertical="center"/>
    </xf>
    <xf numFmtId="0" fontId="24" fillId="2" borderId="20" xfId="2" applyFont="1" applyFill="1" applyBorder="1" applyAlignment="1">
      <alignment vertical="center"/>
    </xf>
    <xf numFmtId="171" fontId="7" fillId="3" borderId="44" xfId="2" quotePrefix="1" applyNumberFormat="1" applyFont="1" applyFill="1" applyBorder="1" applyAlignment="1">
      <alignment vertical="center"/>
    </xf>
    <xf numFmtId="171" fontId="7" fillId="3" borderId="12" xfId="2" quotePrefix="1" applyNumberFormat="1" applyFont="1" applyFill="1" applyBorder="1" applyAlignment="1">
      <alignment vertical="center"/>
    </xf>
    <xf numFmtId="171" fontId="15" fillId="3" borderId="14" xfId="2" applyNumberFormat="1" applyFont="1" applyFill="1" applyBorder="1" applyAlignment="1">
      <alignment vertical="center"/>
    </xf>
    <xf numFmtId="171" fontId="7" fillId="3" borderId="68" xfId="2" quotePrefix="1" applyNumberFormat="1" applyFont="1" applyFill="1" applyBorder="1" applyAlignment="1">
      <alignment vertical="center"/>
    </xf>
    <xf numFmtId="171" fontId="8" fillId="3" borderId="69" xfId="2" applyNumberFormat="1" applyFont="1" applyFill="1" applyBorder="1" applyAlignment="1">
      <alignment vertical="center"/>
    </xf>
    <xf numFmtId="171" fontId="15" fillId="3" borderId="71" xfId="2" applyNumberFormat="1" applyFont="1" applyFill="1" applyBorder="1" applyAlignment="1">
      <alignment vertical="center"/>
    </xf>
    <xf numFmtId="171" fontId="7" fillId="3" borderId="66" xfId="2" quotePrefix="1" applyNumberFormat="1" applyFont="1" applyFill="1" applyBorder="1" applyAlignment="1">
      <alignment vertical="center"/>
    </xf>
    <xf numFmtId="171" fontId="8" fillId="3" borderId="12" xfId="2" applyNumberFormat="1" applyFont="1" applyFill="1" applyBorder="1" applyAlignment="1">
      <alignment vertical="center"/>
    </xf>
    <xf numFmtId="171" fontId="15" fillId="3" borderId="70" xfId="2" applyNumberFormat="1" applyFont="1" applyFill="1" applyBorder="1" applyAlignment="1">
      <alignment vertical="center"/>
    </xf>
    <xf numFmtId="171" fontId="7" fillId="3" borderId="69" xfId="2" quotePrefix="1" applyNumberFormat="1" applyFont="1" applyFill="1" applyBorder="1" applyAlignment="1">
      <alignment vertical="center"/>
    </xf>
    <xf numFmtId="171" fontId="7" fillId="3" borderId="67" xfId="2" quotePrefix="1" applyNumberFormat="1" applyFont="1" applyFill="1" applyBorder="1" applyAlignment="1">
      <alignment vertical="center"/>
    </xf>
    <xf numFmtId="171" fontId="7" fillId="3" borderId="15" xfId="2" quotePrefix="1" applyNumberFormat="1" applyFont="1" applyFill="1" applyBorder="1" applyAlignment="1">
      <alignment vertical="center"/>
    </xf>
    <xf numFmtId="171" fontId="15" fillId="3" borderId="16" xfId="2" applyNumberFormat="1" applyFont="1" applyFill="1" applyBorder="1" applyAlignment="1">
      <alignment vertical="center"/>
    </xf>
    <xf numFmtId="171" fontId="7" fillId="3" borderId="24" xfId="2" quotePrefix="1" applyNumberFormat="1" applyFont="1" applyFill="1" applyBorder="1" applyAlignment="1">
      <alignment vertical="center"/>
    </xf>
    <xf numFmtId="171" fontId="15" fillId="3" borderId="25" xfId="2" applyNumberFormat="1" applyFont="1" applyFill="1" applyBorder="1" applyAlignment="1">
      <alignment vertical="center"/>
    </xf>
    <xf numFmtId="171" fontId="8" fillId="3" borderId="67" xfId="2" applyNumberFormat="1" applyFont="1" applyFill="1" applyBorder="1" applyAlignment="1">
      <alignment vertical="center"/>
    </xf>
    <xf numFmtId="171" fontId="24" fillId="3" borderId="70" xfId="2" applyNumberFormat="1" applyFont="1" applyFill="1" applyBorder="1" applyAlignment="1">
      <alignment vertical="center"/>
    </xf>
    <xf numFmtId="0" fontId="24" fillId="2" borderId="11" xfId="2" applyFont="1" applyFill="1" applyBorder="1" applyAlignment="1">
      <alignment vertical="center"/>
    </xf>
    <xf numFmtId="164" fontId="24" fillId="2" borderId="11" xfId="13" applyNumberFormat="1" applyFont="1" applyFill="1" applyBorder="1" applyAlignment="1">
      <alignment horizontal="center" vertical="center"/>
    </xf>
    <xf numFmtId="0" fontId="24" fillId="2" borderId="15" xfId="2" applyFont="1" applyFill="1" applyBorder="1" applyAlignment="1">
      <alignment horizontal="center" vertical="center"/>
    </xf>
    <xf numFmtId="17" fontId="12" fillId="2" borderId="74" xfId="2" applyNumberFormat="1" applyFont="1" applyFill="1" applyBorder="1" applyAlignment="1">
      <alignment horizontal="right" vertical="center"/>
    </xf>
    <xf numFmtId="17" fontId="12" fillId="2" borderId="11" xfId="2" applyNumberFormat="1" applyFont="1" applyFill="1" applyBorder="1" applyAlignment="1">
      <alignment horizontal="right" vertical="center"/>
    </xf>
    <xf numFmtId="17" fontId="12" fillId="2" borderId="75" xfId="2" applyNumberFormat="1" applyFont="1" applyFill="1" applyBorder="1" applyAlignment="1">
      <alignment horizontal="right" vertical="center"/>
    </xf>
    <xf numFmtId="17" fontId="12" fillId="2" borderId="27" xfId="2" applyNumberFormat="1" applyFont="1" applyFill="1" applyBorder="1" applyAlignment="1">
      <alignment horizontal="right" vertical="center"/>
    </xf>
    <xf numFmtId="171" fontId="7" fillId="3" borderId="14" xfId="2" quotePrefix="1" applyNumberFormat="1" applyFont="1" applyFill="1" applyBorder="1" applyAlignment="1">
      <alignment vertical="center"/>
    </xf>
    <xf numFmtId="171" fontId="7" fillId="3" borderId="16" xfId="2" quotePrefix="1" applyNumberFormat="1" applyFont="1" applyFill="1" applyBorder="1" applyAlignment="1">
      <alignment vertical="center"/>
    </xf>
    <xf numFmtId="171" fontId="7" fillId="3" borderId="76" xfId="2" applyNumberFormat="1" applyFont="1" applyFill="1" applyBorder="1" applyAlignment="1">
      <alignment vertical="center"/>
    </xf>
    <xf numFmtId="171" fontId="7" fillId="3" borderId="37" xfId="2" applyNumberFormat="1" applyFont="1" applyFill="1" applyBorder="1" applyAlignment="1">
      <alignment vertical="center"/>
    </xf>
    <xf numFmtId="171" fontId="7" fillId="3" borderId="43" xfId="2" applyNumberFormat="1" applyFont="1" applyFill="1" applyBorder="1" applyAlignment="1">
      <alignment vertical="center"/>
    </xf>
    <xf numFmtId="171" fontId="7" fillId="3" borderId="1" xfId="2" applyNumberFormat="1" applyFont="1" applyFill="1" applyBorder="1" applyAlignment="1">
      <alignment vertical="center"/>
    </xf>
    <xf numFmtId="171" fontId="7" fillId="3" borderId="22" xfId="2" applyNumberFormat="1" applyFont="1" applyFill="1" applyBorder="1" applyAlignment="1">
      <alignment vertical="center"/>
    </xf>
    <xf numFmtId="171" fontId="7" fillId="3" borderId="44" xfId="2" applyNumberFormat="1" applyFont="1" applyFill="1" applyBorder="1" applyAlignment="1">
      <alignment vertical="center"/>
    </xf>
    <xf numFmtId="171" fontId="7" fillId="3" borderId="77" xfId="2" applyNumberFormat="1" applyFont="1" applyFill="1" applyBorder="1" applyAlignment="1">
      <alignment vertical="center"/>
    </xf>
    <xf numFmtId="171" fontId="7" fillId="3" borderId="73" xfId="2" applyNumberFormat="1" applyFont="1" applyFill="1" applyBorder="1" applyAlignment="1">
      <alignment vertical="center"/>
    </xf>
    <xf numFmtId="171" fontId="7" fillId="3" borderId="3" xfId="2" applyNumberFormat="1" applyFont="1" applyFill="1" applyBorder="1" applyAlignment="1">
      <alignment vertical="center"/>
    </xf>
    <xf numFmtId="171" fontId="7" fillId="3" borderId="68" xfId="2" applyNumberFormat="1" applyFont="1" applyFill="1" applyBorder="1" applyAlignment="1">
      <alignment vertical="center"/>
    </xf>
    <xf numFmtId="171" fontId="7" fillId="3" borderId="38" xfId="2" applyNumberFormat="1" applyFont="1" applyFill="1" applyBorder="1" applyAlignment="1">
      <alignment vertical="center"/>
    </xf>
    <xf numFmtId="171" fontId="7" fillId="3" borderId="66" xfId="2" applyNumberFormat="1" applyFont="1" applyFill="1" applyBorder="1" applyAlignment="1">
      <alignment vertical="center"/>
    </xf>
    <xf numFmtId="164" fontId="15" fillId="3" borderId="21" xfId="2" applyNumberFormat="1" applyFont="1" applyFill="1" applyBorder="1" applyAlignment="1">
      <alignment vertical="center"/>
    </xf>
    <xf numFmtId="164" fontId="15" fillId="3" borderId="45" xfId="2" applyNumberFormat="1" applyFont="1" applyFill="1" applyBorder="1" applyAlignment="1">
      <alignment vertical="center"/>
    </xf>
    <xf numFmtId="164" fontId="15" fillId="3" borderId="89" xfId="2" applyNumberFormat="1" applyFont="1" applyFill="1" applyBorder="1" applyAlignment="1">
      <alignment vertical="center"/>
    </xf>
    <xf numFmtId="164" fontId="15" fillId="3" borderId="23" xfId="2" applyNumberFormat="1" applyFont="1" applyFill="1" applyBorder="1" applyAlignment="1">
      <alignment vertical="center"/>
    </xf>
    <xf numFmtId="164" fontId="15" fillId="3" borderId="22" xfId="2" applyNumberFormat="1" applyFont="1" applyFill="1" applyBorder="1" applyAlignment="1">
      <alignment vertical="center"/>
    </xf>
    <xf numFmtId="164" fontId="15" fillId="3" borderId="43" xfId="2" applyNumberFormat="1" applyFont="1" applyFill="1" applyBorder="1" applyAlignment="1">
      <alignment vertical="center"/>
    </xf>
    <xf numFmtId="164" fontId="15" fillId="3" borderId="1" xfId="2" applyNumberFormat="1" applyFont="1" applyFill="1" applyBorder="1" applyAlignment="1">
      <alignment vertical="center"/>
    </xf>
    <xf numFmtId="164" fontId="15" fillId="3" borderId="44" xfId="2" applyNumberFormat="1" applyFont="1" applyFill="1" applyBorder="1" applyAlignment="1">
      <alignment vertical="center"/>
    </xf>
    <xf numFmtId="171" fontId="7" fillId="3" borderId="6" xfId="2" applyNumberFormat="1" applyFont="1" applyFill="1" applyBorder="1" applyAlignment="1">
      <alignment vertical="center"/>
    </xf>
    <xf numFmtId="171" fontId="7" fillId="3" borderId="8" xfId="2" applyNumberFormat="1" applyFont="1" applyFill="1" applyBorder="1" applyAlignment="1">
      <alignment vertical="center"/>
    </xf>
    <xf numFmtId="171" fontId="7" fillId="3" borderId="88" xfId="2" applyNumberFormat="1" applyFont="1" applyFill="1" applyBorder="1" applyAlignment="1">
      <alignment vertical="center"/>
    </xf>
    <xf numFmtId="171" fontId="7" fillId="3" borderId="9" xfId="2" applyNumberFormat="1" applyFont="1" applyFill="1" applyBorder="1" applyAlignment="1">
      <alignment vertical="center"/>
    </xf>
    <xf numFmtId="171" fontId="7" fillId="3" borderId="21" xfId="2" applyNumberFormat="1" applyFont="1" applyFill="1" applyBorder="1" applyAlignment="1">
      <alignment vertical="center"/>
    </xf>
    <xf numFmtId="171" fontId="7" fillId="3" borderId="45" xfId="2" applyNumberFormat="1" applyFont="1" applyFill="1" applyBorder="1" applyAlignment="1">
      <alignment vertical="center"/>
    </xf>
    <xf numFmtId="171" fontId="7" fillId="3" borderId="89" xfId="2" applyNumberFormat="1" applyFont="1" applyFill="1" applyBorder="1" applyAlignment="1">
      <alignment vertical="center"/>
    </xf>
    <xf numFmtId="171" fontId="7" fillId="3" borderId="23" xfId="2" applyNumberFormat="1" applyFont="1" applyFill="1" applyBorder="1" applyAlignment="1">
      <alignment vertical="center"/>
    </xf>
    <xf numFmtId="164" fontId="24" fillId="3" borderId="76" xfId="2" applyNumberFormat="1" applyFont="1" applyFill="1" applyBorder="1" applyAlignment="1">
      <alignment vertical="center"/>
    </xf>
    <xf numFmtId="164" fontId="24" fillId="3" borderId="37" xfId="2" applyNumberFormat="1" applyFont="1" applyFill="1" applyBorder="1" applyAlignment="1">
      <alignment vertical="center"/>
    </xf>
    <xf numFmtId="164" fontId="24" fillId="3" borderId="38" xfId="2" applyNumberFormat="1" applyFont="1" applyFill="1" applyBorder="1" applyAlignment="1">
      <alignment vertical="center"/>
    </xf>
    <xf numFmtId="164" fontId="24" fillId="3" borderId="66" xfId="2" applyNumberFormat="1" applyFont="1" applyFill="1" applyBorder="1" applyAlignment="1">
      <alignment vertical="center"/>
    </xf>
    <xf numFmtId="171" fontId="15" fillId="3" borderId="22" xfId="2" applyNumberFormat="1" applyFont="1" applyFill="1" applyBorder="1" applyAlignment="1">
      <alignment vertical="center"/>
    </xf>
    <xf numFmtId="171" fontId="15" fillId="3" borderId="43" xfId="2" applyNumberFormat="1" applyFont="1" applyFill="1" applyBorder="1" applyAlignment="1">
      <alignment vertical="center"/>
    </xf>
    <xf numFmtId="171" fontId="15" fillId="3" borderId="1" xfId="2" applyNumberFormat="1" applyFont="1" applyFill="1" applyBorder="1" applyAlignment="1">
      <alignment vertical="center"/>
    </xf>
    <xf numFmtId="171" fontId="15" fillId="3" borderId="44" xfId="2" applyNumberFormat="1" applyFont="1" applyFill="1" applyBorder="1" applyAlignment="1">
      <alignment vertical="center"/>
    </xf>
    <xf numFmtId="171" fontId="15" fillId="3" borderId="21" xfId="2" applyNumberFormat="1" applyFont="1" applyFill="1" applyBorder="1" applyAlignment="1">
      <alignment vertical="center"/>
    </xf>
    <xf numFmtId="171" fontId="15" fillId="3" borderId="45" xfId="2" applyNumberFormat="1" applyFont="1" applyFill="1" applyBorder="1" applyAlignment="1">
      <alignment vertical="center"/>
    </xf>
    <xf numFmtId="171" fontId="15" fillId="3" borderId="89" xfId="2" applyNumberFormat="1" applyFont="1" applyFill="1" applyBorder="1" applyAlignment="1">
      <alignment vertical="center"/>
    </xf>
    <xf numFmtId="171" fontId="15" fillId="3" borderId="23" xfId="2" applyNumberFormat="1" applyFont="1" applyFill="1" applyBorder="1" applyAlignment="1">
      <alignment vertical="center"/>
    </xf>
    <xf numFmtId="0" fontId="13" fillId="2" borderId="60" xfId="2" applyFont="1" applyFill="1" applyBorder="1" applyAlignment="1">
      <alignment horizontal="left" vertical="center" wrapText="1"/>
    </xf>
    <xf numFmtId="0" fontId="13" fillId="2" borderId="60" xfId="2" applyFont="1" applyFill="1" applyBorder="1" applyAlignment="1">
      <alignment horizontal="center" vertical="center" wrapText="1"/>
    </xf>
    <xf numFmtId="165" fontId="13" fillId="2" borderId="60" xfId="2" applyNumberFormat="1" applyFont="1" applyFill="1" applyBorder="1" applyAlignment="1">
      <alignment horizontal="center" vertical="center" wrapText="1"/>
    </xf>
    <xf numFmtId="17" fontId="12" fillId="2" borderId="8" xfId="2" applyNumberFormat="1" applyFont="1" applyFill="1" applyBorder="1" applyAlignment="1">
      <alignment horizontal="center" vertical="center"/>
    </xf>
    <xf numFmtId="0" fontId="14" fillId="3" borderId="29" xfId="2" applyFont="1" applyFill="1" applyBorder="1"/>
    <xf numFmtId="0" fontId="14" fillId="3" borderId="60" xfId="2" applyFont="1" applyFill="1" applyBorder="1"/>
    <xf numFmtId="0" fontId="14" fillId="3" borderId="60" xfId="2" applyFont="1" applyFill="1" applyBorder="1" applyAlignment="1">
      <alignment horizontal="center"/>
    </xf>
    <xf numFmtId="0" fontId="14" fillId="3" borderId="60" xfId="4" applyNumberFormat="1" applyFont="1" applyFill="1" applyBorder="1" applyAlignment="1">
      <alignment horizontal="center"/>
    </xf>
    <xf numFmtId="0" fontId="14" fillId="3" borderId="34" xfId="2" applyFont="1" applyFill="1" applyBorder="1"/>
    <xf numFmtId="0" fontId="14" fillId="3" borderId="34" xfId="2" applyFont="1" applyFill="1" applyBorder="1" applyAlignment="1">
      <alignment horizontal="center"/>
    </xf>
    <xf numFmtId="0" fontId="14" fillId="3" borderId="34" xfId="4" applyNumberFormat="1" applyFont="1" applyFill="1" applyBorder="1" applyAlignment="1">
      <alignment horizontal="center"/>
    </xf>
    <xf numFmtId="0" fontId="14" fillId="3" borderId="5" xfId="2" applyFont="1" applyFill="1" applyBorder="1"/>
    <xf numFmtId="0" fontId="14" fillId="3" borderId="73" xfId="2" applyFont="1" applyFill="1" applyBorder="1"/>
    <xf numFmtId="0" fontId="14" fillId="3" borderId="73" xfId="2" applyFont="1" applyFill="1" applyBorder="1" applyAlignment="1">
      <alignment horizontal="center"/>
    </xf>
    <xf numFmtId="1" fontId="14" fillId="3" borderId="60" xfId="0" applyNumberFormat="1" applyFont="1" applyFill="1" applyBorder="1" applyAlignment="1">
      <alignment horizontal="center"/>
    </xf>
    <xf numFmtId="7" fontId="14" fillId="3" borderId="34" xfId="4" applyNumberFormat="1" applyFont="1" applyFill="1" applyBorder="1"/>
    <xf numFmtId="166" fontId="14" fillId="3" borderId="34" xfId="4" applyNumberFormat="1" applyFont="1" applyFill="1" applyBorder="1" applyAlignment="1">
      <alignment horizontal="center"/>
    </xf>
    <xf numFmtId="1" fontId="14" fillId="3" borderId="73" xfId="0" applyNumberFormat="1" applyFont="1" applyFill="1" applyBorder="1" applyAlignment="1">
      <alignment horizontal="center"/>
    </xf>
    <xf numFmtId="0" fontId="8" fillId="2" borderId="56" xfId="2" applyFont="1" applyFill="1" applyBorder="1"/>
    <xf numFmtId="0" fontId="7" fillId="2" borderId="56" xfId="2" applyFont="1" applyFill="1" applyBorder="1"/>
    <xf numFmtId="0" fontId="8" fillId="2" borderId="57" xfId="2" applyFont="1" applyFill="1" applyBorder="1"/>
    <xf numFmtId="0" fontId="8" fillId="2" borderId="29" xfId="2" applyFont="1" applyFill="1" applyBorder="1"/>
    <xf numFmtId="0" fontId="7" fillId="2" borderId="3" xfId="2" applyFont="1" applyFill="1" applyBorder="1"/>
    <xf numFmtId="0" fontId="7" fillId="2" borderId="4" xfId="2" applyFont="1" applyFill="1" applyBorder="1"/>
    <xf numFmtId="0" fontId="7" fillId="2" borderId="64" xfId="2" applyFont="1" applyFill="1" applyBorder="1"/>
    <xf numFmtId="0" fontId="7" fillId="2" borderId="57" xfId="2" applyFont="1" applyFill="1" applyBorder="1"/>
    <xf numFmtId="0" fontId="7" fillId="2" borderId="40" xfId="2" applyFont="1" applyFill="1" applyBorder="1"/>
    <xf numFmtId="165" fontId="17" fillId="2" borderId="11" xfId="3" applyNumberFormat="1" applyFont="1" applyFill="1" applyBorder="1"/>
    <xf numFmtId="165" fontId="17" fillId="2" borderId="19" xfId="3" applyNumberFormat="1" applyFont="1" applyFill="1" applyBorder="1"/>
    <xf numFmtId="165" fontId="17" fillId="2" borderId="10" xfId="3" applyNumberFormat="1" applyFont="1" applyFill="1" applyBorder="1" applyAlignment="1">
      <alignment horizontal="right"/>
    </xf>
    <xf numFmtId="0" fontId="17" fillId="3" borderId="14" xfId="3" applyFont="1" applyFill="1" applyBorder="1" applyAlignment="1">
      <alignment horizontal="left" indent="1"/>
    </xf>
    <xf numFmtId="0" fontId="0" fillId="2" borderId="0" xfId="0" applyFill="1" applyBorder="1"/>
    <xf numFmtId="0" fontId="23" fillId="2" borderId="0" xfId="0" applyFont="1" applyFill="1"/>
    <xf numFmtId="0" fontId="17" fillId="2" borderId="11" xfId="3" applyFont="1" applyFill="1" applyBorder="1"/>
    <xf numFmtId="0" fontId="27" fillId="3" borderId="65" xfId="0" applyFont="1" applyFill="1" applyBorder="1" applyAlignment="1">
      <alignment vertical="center" wrapText="1"/>
    </xf>
    <xf numFmtId="1" fontId="0" fillId="3" borderId="60" xfId="0" applyNumberFormat="1" applyFill="1" applyBorder="1"/>
    <xf numFmtId="0" fontId="28" fillId="2" borderId="11" xfId="2" applyFont="1" applyFill="1" applyBorder="1"/>
    <xf numFmtId="0" fontId="28" fillId="2" borderId="27" xfId="2" applyFont="1" applyFill="1" applyBorder="1" applyAlignment="1">
      <alignment horizontal="right"/>
    </xf>
    <xf numFmtId="0" fontId="28" fillId="2" borderId="20" xfId="2" applyFont="1" applyFill="1" applyBorder="1" applyAlignment="1">
      <alignment horizontal="right"/>
    </xf>
    <xf numFmtId="6" fontId="28" fillId="3" borderId="44" xfId="2" applyNumberFormat="1" applyFont="1" applyFill="1" applyBorder="1"/>
    <xf numFmtId="6" fontId="28" fillId="3" borderId="13" xfId="2" applyNumberFormat="1" applyFont="1" applyFill="1" applyBorder="1"/>
    <xf numFmtId="169" fontId="28" fillId="6" borderId="13" xfId="2" applyNumberFormat="1" applyFont="1" applyFill="1" applyBorder="1"/>
    <xf numFmtId="169" fontId="28" fillId="3" borderId="44" xfId="2" applyNumberFormat="1" applyFont="1" applyFill="1" applyBorder="1"/>
    <xf numFmtId="169" fontId="28" fillId="3" borderId="13" xfId="2" applyNumberFormat="1" applyFont="1" applyFill="1" applyBorder="1"/>
    <xf numFmtId="6" fontId="2" fillId="3" borderId="60" xfId="0" applyNumberFormat="1" applyFont="1" applyFill="1" applyBorder="1" applyAlignment="1">
      <alignment horizontal="right"/>
    </xf>
    <xf numFmtId="0" fontId="3" fillId="0" borderId="60" xfId="0" applyFont="1" applyBorder="1" applyAlignment="1">
      <alignment horizontal="left" wrapText="1"/>
    </xf>
    <xf numFmtId="38" fontId="11" fillId="0" borderId="60" xfId="0" applyNumberFormat="1" applyFont="1" applyBorder="1" applyAlignment="1">
      <alignment horizontal="right"/>
    </xf>
    <xf numFmtId="171" fontId="1" fillId="3" borderId="24" xfId="2" quotePrefix="1" applyNumberFormat="1" applyFont="1" applyFill="1" applyBorder="1" applyAlignment="1">
      <alignment vertical="center"/>
    </xf>
    <xf numFmtId="7" fontId="14" fillId="0" borderId="60" xfId="4" applyNumberFormat="1" applyFont="1" applyFill="1" applyBorder="1"/>
    <xf numFmtId="0" fontId="7" fillId="0" borderId="17" xfId="2" applyFill="1" applyBorder="1" applyAlignment="1">
      <alignment vertical="center"/>
    </xf>
    <xf numFmtId="40" fontId="6" fillId="6" borderId="87" xfId="2" applyNumberFormat="1" applyFont="1" applyFill="1" applyBorder="1" applyAlignment="1">
      <alignment vertical="center"/>
    </xf>
    <xf numFmtId="8" fontId="7" fillId="0" borderId="18" xfId="2" applyNumberFormat="1" applyFill="1" applyBorder="1" applyAlignment="1">
      <alignment vertical="center"/>
    </xf>
    <xf numFmtId="0" fontId="7" fillId="0" borderId="16" xfId="2" applyFill="1" applyBorder="1" applyAlignment="1">
      <alignment horizontal="center" vertical="center"/>
    </xf>
    <xf numFmtId="40" fontId="12" fillId="6" borderId="15" xfId="2" applyNumberFormat="1" applyFont="1" applyFill="1" applyBorder="1" applyAlignment="1">
      <alignment vertical="center"/>
    </xf>
    <xf numFmtId="0" fontId="33" fillId="0" borderId="16" xfId="2" applyFont="1" applyFill="1" applyBorder="1" applyAlignment="1">
      <alignment vertical="center"/>
    </xf>
    <xf numFmtId="0" fontId="1" fillId="0" borderId="17" xfId="2" applyFont="1" applyFill="1" applyBorder="1" applyAlignment="1">
      <alignment vertical="center"/>
    </xf>
    <xf numFmtId="171" fontId="14" fillId="6" borderId="34" xfId="4" applyNumberFormat="1" applyFont="1" applyFill="1" applyBorder="1" applyAlignment="1">
      <alignment horizontal="center"/>
    </xf>
    <xf numFmtId="0" fontId="17" fillId="0" borderId="0" xfId="3" applyFont="1" applyBorder="1"/>
    <xf numFmtId="0" fontId="17" fillId="3" borderId="0" xfId="3" applyFont="1" applyFill="1" applyBorder="1" applyAlignment="1">
      <alignment horizontal="left" indent="1"/>
    </xf>
    <xf numFmtId="0" fontId="16" fillId="0" borderId="32" xfId="3" applyFont="1" applyFill="1" applyBorder="1" applyAlignment="1">
      <alignment horizontal="right" indent="1"/>
    </xf>
    <xf numFmtId="0" fontId="17" fillId="0" borderId="0" xfId="3" applyFont="1" applyFill="1" applyBorder="1"/>
    <xf numFmtId="0" fontId="16" fillId="0" borderId="32" xfId="3" applyFont="1" applyFill="1" applyBorder="1"/>
    <xf numFmtId="0" fontId="16" fillId="0" borderId="17" xfId="3" applyFont="1" applyFill="1" applyBorder="1" applyAlignment="1">
      <alignment horizontal="right" indent="1"/>
    </xf>
    <xf numFmtId="0" fontId="16" fillId="0" borderId="19" xfId="3" applyFont="1" applyFill="1" applyBorder="1" applyAlignment="1">
      <alignment horizontal="right"/>
    </xf>
    <xf numFmtId="0" fontId="17" fillId="0" borderId="32" xfId="3" applyFont="1" applyFill="1" applyBorder="1" applyAlignment="1">
      <alignment horizontal="left" indent="1"/>
    </xf>
    <xf numFmtId="0" fontId="17" fillId="0" borderId="16" xfId="3" applyFont="1" applyFill="1" applyBorder="1" applyAlignment="1">
      <alignment horizontal="right"/>
    </xf>
    <xf numFmtId="6" fontId="17" fillId="6" borderId="11" xfId="3" applyNumberFormat="1" applyFont="1" applyFill="1" applyBorder="1"/>
    <xf numFmtId="6" fontId="2" fillId="8" borderId="0" xfId="0" applyNumberFormat="1" applyFont="1" applyFill="1" applyBorder="1" applyAlignment="1">
      <alignment horizontal="right"/>
    </xf>
    <xf numFmtId="174" fontId="2" fillId="0" borderId="60" xfId="0" quotePrefix="1" applyNumberFormat="1" applyFont="1" applyFill="1" applyBorder="1" applyAlignment="1">
      <alignment horizontal="left" wrapText="1"/>
    </xf>
    <xf numFmtId="168" fontId="2" fillId="0" borderId="60" xfId="0" applyNumberFormat="1" applyFont="1" applyFill="1" applyBorder="1" applyAlignment="1">
      <alignment horizontal="left"/>
    </xf>
    <xf numFmtId="6" fontId="2" fillId="0" borderId="97" xfId="0" applyNumberFormat="1" applyFont="1" applyFill="1" applyBorder="1" applyAlignment="1">
      <alignment horizontal="right"/>
    </xf>
    <xf numFmtId="0" fontId="2" fillId="0" borderId="98" xfId="0" applyFont="1" applyBorder="1"/>
    <xf numFmtId="6" fontId="3" fillId="0" borderId="46" xfId="0" applyNumberFormat="1" applyFont="1" applyFill="1" applyBorder="1" applyAlignment="1">
      <alignment vertical="center" wrapText="1"/>
    </xf>
    <xf numFmtId="6" fontId="3" fillId="0" borderId="0" xfId="0" applyNumberFormat="1" applyFont="1" applyFill="1" applyBorder="1" applyAlignment="1">
      <alignment vertical="center" wrapText="1"/>
    </xf>
    <xf numFmtId="6" fontId="3" fillId="6" borderId="100" xfId="0" applyNumberFormat="1" applyFont="1" applyFill="1" applyBorder="1" applyAlignment="1">
      <alignment horizontal="right"/>
    </xf>
    <xf numFmtId="6" fontId="3" fillId="0" borderId="1" xfId="0" applyNumberFormat="1" applyFont="1" applyFill="1" applyBorder="1" applyAlignment="1">
      <alignment horizontal="right" vertical="center" wrapText="1"/>
    </xf>
    <xf numFmtId="6" fontId="3" fillId="0" borderId="99" xfId="0" applyNumberFormat="1" applyFont="1" applyFill="1" applyBorder="1" applyAlignment="1">
      <alignment horizontal="right" vertical="center" wrapText="1"/>
    </xf>
    <xf numFmtId="0" fontId="3" fillId="0" borderId="78" xfId="0" applyFont="1" applyBorder="1" applyAlignment="1">
      <alignment horizontal="left" vertical="center"/>
    </xf>
    <xf numFmtId="0" fontId="3" fillId="0" borderId="0" xfId="0" applyFont="1" applyBorder="1" applyAlignment="1">
      <alignment horizontal="left" vertical="center"/>
    </xf>
    <xf numFmtId="0" fontId="21" fillId="2" borderId="49"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2" fillId="3" borderId="58" xfId="0" applyFont="1" applyFill="1" applyBorder="1" applyAlignment="1">
      <alignment horizontal="left" wrapText="1"/>
    </xf>
    <xf numFmtId="0" fontId="0" fillId="3" borderId="58" xfId="0" applyFill="1" applyBorder="1" applyAlignment="1">
      <alignment horizontal="left" wrapText="1"/>
    </xf>
    <xf numFmtId="0" fontId="0" fillId="3" borderId="59" xfId="0" applyFill="1" applyBorder="1" applyAlignment="1">
      <alignment horizontal="left" wrapText="1"/>
    </xf>
    <xf numFmtId="0" fontId="2" fillId="3" borderId="60" xfId="0" applyFont="1" applyFill="1" applyBorder="1" applyAlignment="1">
      <alignment horizontal="left" wrapText="1"/>
    </xf>
    <xf numFmtId="0" fontId="0" fillId="3" borderId="60" xfId="0" applyFill="1" applyBorder="1" applyAlignment="1">
      <alignment horizontal="left" wrapText="1"/>
    </xf>
    <xf numFmtId="0" fontId="0" fillId="3" borderId="61" xfId="0" applyFill="1" applyBorder="1" applyAlignment="1">
      <alignment horizontal="left" wrapText="1"/>
    </xf>
    <xf numFmtId="0" fontId="2" fillId="3" borderId="56" xfId="0" applyFont="1" applyFill="1" applyBorder="1" applyAlignment="1">
      <alignment horizontal="left"/>
    </xf>
    <xf numFmtId="0" fontId="0" fillId="3" borderId="57" xfId="0" applyFill="1" applyBorder="1" applyAlignment="1">
      <alignment horizontal="left"/>
    </xf>
    <xf numFmtId="0" fontId="0" fillId="3" borderId="63" xfId="0" applyFill="1" applyBorder="1" applyAlignment="1">
      <alignment horizontal="left"/>
    </xf>
    <xf numFmtId="14" fontId="2" fillId="3" borderId="56" xfId="0" applyNumberFormat="1" applyFont="1" applyFill="1" applyBorder="1" applyAlignment="1">
      <alignment horizontal="left"/>
    </xf>
    <xf numFmtId="14" fontId="2" fillId="6" borderId="56" xfId="0" applyNumberFormat="1" applyFont="1" applyFill="1" applyBorder="1" applyAlignment="1">
      <alignment horizontal="left"/>
    </xf>
    <xf numFmtId="14" fontId="0" fillId="6" borderId="57" xfId="0" applyNumberFormat="1" applyFill="1" applyBorder="1" applyAlignment="1">
      <alignment horizontal="left"/>
    </xf>
    <xf numFmtId="14" fontId="0" fillId="6" borderId="63" xfId="0" applyNumberFormat="1" applyFill="1" applyBorder="1" applyAlignment="1">
      <alignment horizontal="left"/>
    </xf>
    <xf numFmtId="0" fontId="2" fillId="6" borderId="58" xfId="0" applyFont="1" applyFill="1" applyBorder="1" applyAlignment="1">
      <alignment horizontal="left" wrapText="1"/>
    </xf>
    <xf numFmtId="0" fontId="0" fillId="6" borderId="58" xfId="0" applyFill="1" applyBorder="1" applyAlignment="1">
      <alignment horizontal="left" wrapText="1"/>
    </xf>
    <xf numFmtId="0" fontId="0" fillId="6" borderId="59" xfId="0" applyFill="1" applyBorder="1" applyAlignment="1">
      <alignment horizontal="left" wrapText="1"/>
    </xf>
    <xf numFmtId="0" fontId="2" fillId="6" borderId="60" xfId="0" applyFont="1" applyFill="1" applyBorder="1" applyAlignment="1">
      <alignment horizontal="left" wrapText="1"/>
    </xf>
    <xf numFmtId="0" fontId="0" fillId="6" borderId="60" xfId="0" applyFill="1" applyBorder="1" applyAlignment="1">
      <alignment horizontal="left" wrapText="1"/>
    </xf>
    <xf numFmtId="0" fontId="0" fillId="6" borderId="61" xfId="0" applyFill="1" applyBorder="1" applyAlignment="1">
      <alignment horizontal="left" wrapText="1"/>
    </xf>
    <xf numFmtId="0" fontId="2" fillId="6" borderId="56" xfId="0" applyFont="1" applyFill="1" applyBorder="1" applyAlignment="1">
      <alignment horizontal="left"/>
    </xf>
    <xf numFmtId="0" fontId="0" fillId="6" borderId="57" xfId="0" applyFill="1" applyBorder="1" applyAlignment="1">
      <alignment horizontal="left"/>
    </xf>
    <xf numFmtId="0" fontId="0" fillId="6" borderId="63" xfId="0" applyFill="1" applyBorder="1" applyAlignment="1">
      <alignment horizontal="left"/>
    </xf>
    <xf numFmtId="0" fontId="12" fillId="2" borderId="25" xfId="2" applyFont="1" applyFill="1" applyBorder="1" applyAlignment="1">
      <alignment horizontal="center" vertical="center" wrapText="1"/>
    </xf>
    <xf numFmtId="0" fontId="26" fillId="2" borderId="26" xfId="0" applyFont="1" applyFill="1" applyBorder="1" applyAlignment="1">
      <alignment horizontal="center" vertical="center" wrapText="1"/>
    </xf>
    <xf numFmtId="171" fontId="15" fillId="6" borderId="67" xfId="2" applyNumberFormat="1" applyFont="1" applyFill="1" applyBorder="1" applyAlignment="1">
      <alignment horizontal="center" vertical="center"/>
    </xf>
    <xf numFmtId="171" fontId="15" fillId="6" borderId="69" xfId="2" applyNumberFormat="1" applyFont="1" applyFill="1" applyBorder="1" applyAlignment="1">
      <alignment horizontal="center" vertical="center"/>
    </xf>
    <xf numFmtId="171" fontId="15" fillId="6" borderId="24" xfId="2" applyNumberFormat="1" applyFont="1" applyFill="1" applyBorder="1" applyAlignment="1">
      <alignment horizontal="center" vertical="center"/>
    </xf>
    <xf numFmtId="171" fontId="15" fillId="6" borderId="12" xfId="2" applyNumberFormat="1" applyFont="1" applyFill="1" applyBorder="1" applyAlignment="1">
      <alignment horizontal="center" vertical="center"/>
    </xf>
    <xf numFmtId="171" fontId="15" fillId="6" borderId="15" xfId="2" applyNumberFormat="1" applyFont="1" applyFill="1" applyBorder="1" applyAlignment="1">
      <alignment horizontal="center" vertical="center"/>
    </xf>
    <xf numFmtId="171" fontId="8" fillId="6" borderId="24" xfId="2" applyNumberFormat="1" applyFont="1" applyFill="1" applyBorder="1" applyAlignment="1">
      <alignment horizontal="center" vertical="center"/>
    </xf>
    <xf numFmtId="171" fontId="8" fillId="6" borderId="15" xfId="2" applyNumberFormat="1" applyFont="1" applyFill="1" applyBorder="1" applyAlignment="1">
      <alignment horizontal="center" vertical="center"/>
    </xf>
    <xf numFmtId="0" fontId="24" fillId="6" borderId="24" xfId="2" applyFont="1" applyFill="1" applyBorder="1" applyAlignment="1">
      <alignment horizontal="center" vertical="center"/>
    </xf>
    <xf numFmtId="0" fontId="24" fillId="6" borderId="15" xfId="2" applyFont="1" applyFill="1" applyBorder="1" applyAlignment="1">
      <alignment horizontal="center" vertical="center"/>
    </xf>
    <xf numFmtId="171" fontId="24" fillId="6" borderId="24" xfId="2" applyNumberFormat="1" applyFont="1" applyFill="1" applyBorder="1" applyAlignment="1">
      <alignment horizontal="center" vertical="center"/>
    </xf>
    <xf numFmtId="171" fontId="24" fillId="6" borderId="15" xfId="2" applyNumberFormat="1" applyFont="1" applyFill="1" applyBorder="1" applyAlignment="1">
      <alignment horizontal="center" vertical="center"/>
    </xf>
    <xf numFmtId="0" fontId="7" fillId="0" borderId="37" xfId="2" applyFont="1" applyBorder="1" applyAlignment="1">
      <alignment horizontal="center" vertical="center"/>
    </xf>
    <xf numFmtId="0" fontId="7" fillId="0" borderId="73" xfId="2" applyFont="1" applyBorder="1" applyAlignment="1">
      <alignment horizontal="center" vertical="center"/>
    </xf>
    <xf numFmtId="0" fontId="14" fillId="0" borderId="37" xfId="2" applyFont="1" applyBorder="1" applyAlignment="1">
      <alignment horizontal="center" vertical="center"/>
    </xf>
    <xf numFmtId="0" fontId="14" fillId="0" borderId="43" xfId="2" applyFont="1" applyBorder="1" applyAlignment="1">
      <alignment horizontal="center" vertical="center"/>
    </xf>
    <xf numFmtId="0" fontId="14" fillId="0" borderId="73" xfId="2" applyFont="1" applyBorder="1" applyAlignment="1">
      <alignment horizontal="center" vertical="center"/>
    </xf>
    <xf numFmtId="0" fontId="21" fillId="2" borderId="50" xfId="0" applyFont="1" applyFill="1" applyBorder="1" applyAlignment="1">
      <alignment horizontal="center" vertical="center"/>
    </xf>
    <xf numFmtId="0" fontId="21" fillId="6" borderId="49" xfId="0" applyFont="1" applyFill="1" applyBorder="1" applyAlignment="1">
      <alignment horizontal="center" vertical="center"/>
    </xf>
    <xf numFmtId="0" fontId="21" fillId="6" borderId="50" xfId="0" applyFont="1" applyFill="1" applyBorder="1" applyAlignment="1">
      <alignment horizontal="center" vertical="center"/>
    </xf>
    <xf numFmtId="0" fontId="21" fillId="6" borderId="95" xfId="0" applyFont="1" applyFill="1" applyBorder="1" applyAlignment="1">
      <alignment horizontal="center" vertical="center"/>
    </xf>
    <xf numFmtId="0" fontId="21" fillId="6" borderId="96" xfId="0" applyFont="1" applyFill="1" applyBorder="1" applyAlignment="1">
      <alignment horizontal="center" vertical="center"/>
    </xf>
    <xf numFmtId="174" fontId="2" fillId="0" borderId="37" xfId="0" quotePrefix="1" applyNumberFormat="1" applyFont="1" applyFill="1" applyBorder="1" applyAlignment="1">
      <alignment horizontal="center" vertical="center" wrapText="1"/>
    </xf>
    <xf numFmtId="174" fontId="2" fillId="0" borderId="43" xfId="0" quotePrefix="1" applyNumberFormat="1" applyFont="1" applyFill="1" applyBorder="1" applyAlignment="1">
      <alignment horizontal="center" vertical="center" wrapText="1"/>
    </xf>
    <xf numFmtId="168" fontId="2" fillId="0" borderId="37" xfId="0" applyNumberFormat="1" applyFont="1" applyFill="1" applyBorder="1" applyAlignment="1">
      <alignment horizontal="center" vertical="center"/>
    </xf>
    <xf numFmtId="168" fontId="2" fillId="0" borderId="43" xfId="0" applyNumberFormat="1" applyFont="1" applyFill="1" applyBorder="1" applyAlignment="1">
      <alignment horizontal="center" vertical="center"/>
    </xf>
  </cellXfs>
  <cellStyles count="16">
    <cellStyle name="Comma 2" xfId="11"/>
    <cellStyle name="Currency" xfId="15" builtinId="4"/>
    <cellStyle name="Currency 2" xfId="4"/>
    <cellStyle name="Currency 2 2" xfId="5"/>
    <cellStyle name="Currency 3" xfId="6"/>
    <cellStyle name="Normal" xfId="0" builtinId="0"/>
    <cellStyle name="Normal 2" xfId="1"/>
    <cellStyle name="Normal 2 2" xfId="3"/>
    <cellStyle name="Normal 3" xfId="2"/>
    <cellStyle name="Normal 4" xfId="7"/>
    <cellStyle name="Normal 5" xfId="14"/>
    <cellStyle name="Normal_Details_1 2" xfId="8"/>
    <cellStyle name="Normal_Sheet1 2" xfId="13"/>
    <cellStyle name="Percent 2" xfId="9"/>
    <cellStyle name="Percent 2 2" xfId="10"/>
    <cellStyle name="Percent 3" xfId="12"/>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zon.4/AppData/Local/Microsoft/Windows/Temporary%20Internet%20Files/Content.Outlook/3GW6OF31/14-42-100194%20HR-SIS%20Upgrade%20Implementation%20-%20Fin%20thru%20Ju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cmshib.osu.edu/content/groups/authenticated/@.group.ociopmo$/documents/template/ociopmo_financial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ster.18/AppData/Local/Microsoft/Windows/Temporary%20Internet%20Files/Content.Outlook/Q50M3V2Q/Copy%20of%20OCIO%20Patch%20and%20Vulnerability%20Mgt%20-%20Financials%20-%202012-01-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ezon.4/AppData/Local/Microsoft/Windows/Temporary%20Internet%20Files/Content.Outlook/3GW6OF31/13-42-100194%20HR-SIS%20Upgrade%20Implementation%20-%20Fin%20thru%20Ju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Notes"/>
      <sheetName val="Funding Summary"/>
      <sheetName val="GL FY13"/>
      <sheetName val="GL FY14"/>
      <sheetName val=" Costs Detail"/>
      <sheetName val="GL FY15"/>
      <sheetName val="MS Project Data - Forecast"/>
      <sheetName val="Labor Hours-FY13"/>
      <sheetName val="Labor Hours-FY14"/>
      <sheetName val="Labor Hours-FY15"/>
      <sheetName val="Budget"/>
      <sheetName val="Planned"/>
      <sheetName val="Forecast"/>
      <sheetName val="Ops Support"/>
      <sheetName val="Definitions "/>
      <sheetName val="Reference"/>
      <sheetName val="Labor Forecast"/>
      <sheetName val="Consultant"/>
      <sheetName val="Severance-FY13"/>
      <sheetName val="Summary Forecast"/>
      <sheetName val="Contingency Request"/>
    </sheetNames>
    <sheetDataSet>
      <sheetData sheetId="0" refreshError="1">
        <row r="2">
          <cell r="E2" t="str">
            <v>PeopleSoft HR/SIS Upgrade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B4" t="str">
            <v>FY13-Non-Labor Cost</v>
          </cell>
          <cell r="C4" t="str">
            <v>Non-Labor Cost</v>
          </cell>
          <cell r="D4">
            <v>238780.25</v>
          </cell>
          <cell r="E4">
            <v>238780.25</v>
          </cell>
          <cell r="F4">
            <v>238780.25</v>
          </cell>
          <cell r="G4">
            <v>238780.25</v>
          </cell>
          <cell r="H4">
            <v>238780.25</v>
          </cell>
          <cell r="I4">
            <v>238780.25</v>
          </cell>
          <cell r="J4">
            <v>238780.25</v>
          </cell>
          <cell r="K4">
            <v>238780.25</v>
          </cell>
          <cell r="L4">
            <v>238780.25</v>
          </cell>
          <cell r="M4">
            <v>238780.25</v>
          </cell>
          <cell r="N4">
            <v>238780.25</v>
          </cell>
          <cell r="O4">
            <v>238780.25</v>
          </cell>
          <cell r="P4">
            <v>2865363</v>
          </cell>
          <cell r="R4" t="str">
            <v>FY13-Non-Labor Cost</v>
          </cell>
          <cell r="S4">
            <v>238780.25</v>
          </cell>
          <cell r="T4">
            <v>477560.5</v>
          </cell>
          <cell r="U4">
            <v>716340.75</v>
          </cell>
          <cell r="V4">
            <v>955121</v>
          </cell>
          <cell r="W4">
            <v>1193901.25</v>
          </cell>
          <cell r="X4">
            <v>1432681.5</v>
          </cell>
          <cell r="Y4">
            <v>1671461.75</v>
          </cell>
          <cell r="Z4">
            <v>1910242</v>
          </cell>
          <cell r="AA4">
            <v>2149022.25</v>
          </cell>
          <cell r="AB4">
            <v>2387802.5</v>
          </cell>
          <cell r="AC4">
            <v>2626582.75</v>
          </cell>
          <cell r="AD4">
            <v>2865363</v>
          </cell>
        </row>
        <row r="5">
          <cell r="B5" t="str">
            <v>FY13-Cash Labor Costs</v>
          </cell>
          <cell r="C5" t="str">
            <v>Cash Labor Costs</v>
          </cell>
          <cell r="D5">
            <v>453885.75</v>
          </cell>
          <cell r="E5">
            <v>453885.75</v>
          </cell>
          <cell r="F5">
            <v>453885.75</v>
          </cell>
          <cell r="G5">
            <v>453885.75</v>
          </cell>
          <cell r="H5">
            <v>453885.75</v>
          </cell>
          <cell r="I5">
            <v>453885.75</v>
          </cell>
          <cell r="J5">
            <v>453885.75</v>
          </cell>
          <cell r="K5">
            <v>453885.75</v>
          </cell>
          <cell r="L5">
            <v>453885.75</v>
          </cell>
          <cell r="M5">
            <v>453885.75</v>
          </cell>
          <cell r="N5">
            <v>453885.75</v>
          </cell>
          <cell r="O5">
            <v>453885.75</v>
          </cell>
          <cell r="P5">
            <v>5446629</v>
          </cell>
          <cell r="R5" t="str">
            <v>FY13-Cash Labor Costs</v>
          </cell>
          <cell r="S5">
            <v>453885.75</v>
          </cell>
          <cell r="T5">
            <v>907771.5</v>
          </cell>
          <cell r="U5">
            <v>1361657.25</v>
          </cell>
          <cell r="V5">
            <v>1815543</v>
          </cell>
          <cell r="W5">
            <v>2269428.75</v>
          </cell>
          <cell r="X5">
            <v>2723314.5</v>
          </cell>
          <cell r="Y5">
            <v>3177200.25</v>
          </cell>
          <cell r="Z5">
            <v>3631086</v>
          </cell>
          <cell r="AA5">
            <v>4084971.75</v>
          </cell>
          <cell r="AB5">
            <v>4538857.5</v>
          </cell>
          <cell r="AC5">
            <v>4992743.25</v>
          </cell>
          <cell r="AD5">
            <v>5446629</v>
          </cell>
        </row>
        <row r="6">
          <cell r="B6" t="str">
            <v>FY13-Non-Cash Labor Costs</v>
          </cell>
          <cell r="C6" t="str">
            <v>Non-Cash Labor Costs</v>
          </cell>
          <cell r="D6">
            <v>83333.333333333328</v>
          </cell>
          <cell r="E6">
            <v>83333.333333333328</v>
          </cell>
          <cell r="F6">
            <v>83333.333333333328</v>
          </cell>
          <cell r="G6">
            <v>83333.333333333328</v>
          </cell>
          <cell r="H6">
            <v>83333.333333333328</v>
          </cell>
          <cell r="I6">
            <v>83333.333333333328</v>
          </cell>
          <cell r="J6">
            <v>83333.333333333328</v>
          </cell>
          <cell r="K6">
            <v>83333.333333333328</v>
          </cell>
          <cell r="L6">
            <v>83333.333333333328</v>
          </cell>
          <cell r="M6">
            <v>83333.333333333328</v>
          </cell>
          <cell r="N6">
            <v>83333.333333333328</v>
          </cell>
          <cell r="O6">
            <v>83333.333333333328</v>
          </cell>
          <cell r="P6">
            <v>1000000.0000000001</v>
          </cell>
          <cell r="R6" t="str">
            <v>FY13-Non-Cash Labor Costs</v>
          </cell>
          <cell r="S6">
            <v>83333.333333333328</v>
          </cell>
          <cell r="T6">
            <v>166666.66666666666</v>
          </cell>
          <cell r="U6">
            <v>250000</v>
          </cell>
          <cell r="V6">
            <v>333333.33333333331</v>
          </cell>
          <cell r="W6">
            <v>416666.66666666663</v>
          </cell>
          <cell r="X6">
            <v>499999.99999999994</v>
          </cell>
          <cell r="Y6">
            <v>583333.33333333326</v>
          </cell>
          <cell r="Z6">
            <v>666666.66666666663</v>
          </cell>
          <cell r="AA6">
            <v>750000</v>
          </cell>
          <cell r="AB6">
            <v>833333.33333333337</v>
          </cell>
          <cell r="AC6">
            <v>916666.66666666674</v>
          </cell>
          <cell r="AD6">
            <v>1000000.0000000001</v>
          </cell>
        </row>
        <row r="7">
          <cell r="B7" t="str">
            <v>FY13-Cash Labor Hours</v>
          </cell>
          <cell r="C7" t="str">
            <v>Cash Labor Hours</v>
          </cell>
          <cell r="D7">
            <v>5752</v>
          </cell>
          <cell r="E7">
            <v>5752</v>
          </cell>
          <cell r="F7">
            <v>5752</v>
          </cell>
          <cell r="G7">
            <v>5752</v>
          </cell>
          <cell r="H7">
            <v>5752</v>
          </cell>
          <cell r="I7">
            <v>5752</v>
          </cell>
          <cell r="J7">
            <v>5752</v>
          </cell>
          <cell r="K7">
            <v>5752</v>
          </cell>
          <cell r="L7">
            <v>5752</v>
          </cell>
          <cell r="M7">
            <v>5752</v>
          </cell>
          <cell r="N7">
            <v>5752</v>
          </cell>
          <cell r="O7">
            <v>5752</v>
          </cell>
          <cell r="P7">
            <v>69024</v>
          </cell>
          <cell r="R7" t="str">
            <v>FY13-Cash Labor Hours</v>
          </cell>
          <cell r="S7">
            <v>5752</v>
          </cell>
          <cell r="T7">
            <v>11504</v>
          </cell>
          <cell r="U7">
            <v>17256</v>
          </cell>
          <cell r="V7">
            <v>23008</v>
          </cell>
          <cell r="W7">
            <v>28760</v>
          </cell>
          <cell r="X7">
            <v>34512</v>
          </cell>
          <cell r="Y7">
            <v>40264</v>
          </cell>
          <cell r="Z7">
            <v>46016</v>
          </cell>
          <cell r="AA7">
            <v>51768</v>
          </cell>
          <cell r="AB7">
            <v>57520</v>
          </cell>
          <cell r="AC7">
            <v>63272</v>
          </cell>
          <cell r="AD7">
            <v>69024</v>
          </cell>
        </row>
        <row r="8">
          <cell r="B8" t="str">
            <v>FY13-Non-Cash Labor Hours</v>
          </cell>
          <cell r="C8" t="str">
            <v>Non-Cash Labor Hours</v>
          </cell>
          <cell r="D8">
            <v>3434.1666666666665</v>
          </cell>
          <cell r="E8">
            <v>3434.1666666666665</v>
          </cell>
          <cell r="F8">
            <v>3434.1666666666665</v>
          </cell>
          <cell r="G8">
            <v>3434.1666666666665</v>
          </cell>
          <cell r="H8">
            <v>3434.1666666666665</v>
          </cell>
          <cell r="I8">
            <v>3434.1666666666665</v>
          </cell>
          <cell r="J8">
            <v>3434.1666666666665</v>
          </cell>
          <cell r="K8">
            <v>3434.1666666666665</v>
          </cell>
          <cell r="L8">
            <v>3434.1666666666665</v>
          </cell>
          <cell r="M8">
            <v>3434.1666666666665</v>
          </cell>
          <cell r="N8">
            <v>3434.1666666666665</v>
          </cell>
          <cell r="O8">
            <v>3434.1666666666665</v>
          </cell>
          <cell r="P8">
            <v>41210</v>
          </cell>
          <cell r="R8" t="str">
            <v>FY13-Non-Cash Labor Hours</v>
          </cell>
          <cell r="S8">
            <v>3434.1666666666665</v>
          </cell>
          <cell r="T8">
            <v>6868.333333333333</v>
          </cell>
          <cell r="U8">
            <v>10302.5</v>
          </cell>
          <cell r="V8">
            <v>13736.666666666666</v>
          </cell>
          <cell r="W8">
            <v>17170.833333333332</v>
          </cell>
          <cell r="X8">
            <v>20605</v>
          </cell>
          <cell r="Y8">
            <v>24039.166666666668</v>
          </cell>
          <cell r="Z8">
            <v>27473.333333333336</v>
          </cell>
          <cell r="AA8">
            <v>30907.500000000004</v>
          </cell>
          <cell r="AB8">
            <v>34341.666666666672</v>
          </cell>
          <cell r="AC8">
            <v>37775.833333333336</v>
          </cell>
          <cell r="AD8">
            <v>41210</v>
          </cell>
        </row>
        <row r="9">
          <cell r="B9" t="str">
            <v>FY13-Total Cost</v>
          </cell>
          <cell r="C9" t="str">
            <v>Total Cost</v>
          </cell>
          <cell r="D9">
            <v>775999.33333333337</v>
          </cell>
          <cell r="E9">
            <v>775999.33333333337</v>
          </cell>
          <cell r="F9">
            <v>775999.33333333337</v>
          </cell>
          <cell r="G9">
            <v>775999.33333333337</v>
          </cell>
          <cell r="H9">
            <v>775999.33333333337</v>
          </cell>
          <cell r="I9">
            <v>775999.33333333337</v>
          </cell>
          <cell r="J9">
            <v>775999.33333333337</v>
          </cell>
          <cell r="K9">
            <v>775999.33333333337</v>
          </cell>
          <cell r="L9">
            <v>775999.33333333337</v>
          </cell>
          <cell r="M9">
            <v>775999.33333333337</v>
          </cell>
          <cell r="N9">
            <v>775999.33333333337</v>
          </cell>
          <cell r="O9">
            <v>775999.33333333337</v>
          </cell>
          <cell r="P9">
            <v>9311992</v>
          </cell>
          <cell r="R9" t="str">
            <v>FY13-Total Cost</v>
          </cell>
          <cell r="S9">
            <v>775999.33333333337</v>
          </cell>
          <cell r="T9">
            <v>1551998.6666666667</v>
          </cell>
          <cell r="U9">
            <v>2327998</v>
          </cell>
          <cell r="V9">
            <v>3103997.3333333335</v>
          </cell>
          <cell r="W9">
            <v>3879996.6666666665</v>
          </cell>
          <cell r="X9">
            <v>4655996</v>
          </cell>
          <cell r="Y9">
            <v>5431995.333333333</v>
          </cell>
          <cell r="Z9">
            <v>6207994.666666667</v>
          </cell>
          <cell r="AA9">
            <v>6983994</v>
          </cell>
          <cell r="AB9">
            <v>7759993.333333333</v>
          </cell>
          <cell r="AC9">
            <v>8535992.666666666</v>
          </cell>
          <cell r="AD9">
            <v>9311992</v>
          </cell>
        </row>
        <row r="10">
          <cell r="B10" t="str">
            <v>FY13-Total Hours</v>
          </cell>
          <cell r="C10" t="str">
            <v>Total Hours</v>
          </cell>
          <cell r="D10">
            <v>9186.1666666666661</v>
          </cell>
          <cell r="E10">
            <v>9186.1666666666661</v>
          </cell>
          <cell r="F10">
            <v>9186.1666666666661</v>
          </cell>
          <cell r="G10">
            <v>9186.1666666666661</v>
          </cell>
          <cell r="H10">
            <v>9186.1666666666661</v>
          </cell>
          <cell r="I10">
            <v>9186.1666666666661</v>
          </cell>
          <cell r="J10">
            <v>9186.1666666666661</v>
          </cell>
          <cell r="K10">
            <v>9186.1666666666661</v>
          </cell>
          <cell r="L10">
            <v>9186.1666666666661</v>
          </cell>
          <cell r="M10">
            <v>9186.1666666666661</v>
          </cell>
          <cell r="N10">
            <v>9186.1666666666661</v>
          </cell>
          <cell r="O10">
            <v>9186.1666666666661</v>
          </cell>
          <cell r="P10">
            <v>110234.00000000001</v>
          </cell>
          <cell r="R10" t="str">
            <v>FY13-Total Hours</v>
          </cell>
          <cell r="S10">
            <v>9186.1666666666661</v>
          </cell>
          <cell r="T10">
            <v>18372.333333333332</v>
          </cell>
          <cell r="U10">
            <v>27558.5</v>
          </cell>
          <cell r="V10">
            <v>36744.666666666664</v>
          </cell>
          <cell r="W10">
            <v>45930.833333333328</v>
          </cell>
          <cell r="X10">
            <v>55117</v>
          </cell>
          <cell r="Y10">
            <v>64303.166666666672</v>
          </cell>
          <cell r="Z10">
            <v>73489.333333333343</v>
          </cell>
          <cell r="AA10">
            <v>82675.5</v>
          </cell>
          <cell r="AB10">
            <v>91861.666666666672</v>
          </cell>
          <cell r="AC10">
            <v>101047.83333333334</v>
          </cell>
          <cell r="AD10">
            <v>110234</v>
          </cell>
        </row>
        <row r="11">
          <cell r="B11" t="str">
            <v>FY14-Non-Labor Cost</v>
          </cell>
          <cell r="C11" t="str">
            <v>Non-Labor Cost</v>
          </cell>
          <cell r="D11">
            <v>153118.58333333334</v>
          </cell>
          <cell r="E11">
            <v>153118.58333333334</v>
          </cell>
          <cell r="F11">
            <v>153118.58333333334</v>
          </cell>
          <cell r="G11">
            <v>153118.58333333334</v>
          </cell>
          <cell r="H11">
            <v>153118.58333333334</v>
          </cell>
          <cell r="I11">
            <v>153118.58333333334</v>
          </cell>
          <cell r="J11">
            <v>153118.58333333334</v>
          </cell>
          <cell r="K11">
            <v>153118.58333333334</v>
          </cell>
          <cell r="L11">
            <v>153118.58333333334</v>
          </cell>
          <cell r="M11">
            <v>153118.58333333334</v>
          </cell>
          <cell r="N11">
            <v>153118.58333333334</v>
          </cell>
          <cell r="O11">
            <v>153118.58333333334</v>
          </cell>
          <cell r="P11">
            <v>1837422.9999999998</v>
          </cell>
          <cell r="R11" t="str">
            <v>FY14-Non-Labor Cost</v>
          </cell>
          <cell r="S11">
            <v>153118.58333333334</v>
          </cell>
          <cell r="T11">
            <v>306237.16666666669</v>
          </cell>
          <cell r="U11">
            <v>459355.75</v>
          </cell>
          <cell r="V11">
            <v>612474.33333333337</v>
          </cell>
          <cell r="W11">
            <v>765592.91666666674</v>
          </cell>
          <cell r="X11">
            <v>918711.50000000012</v>
          </cell>
          <cell r="Y11">
            <v>1071830.0833333335</v>
          </cell>
          <cell r="Z11">
            <v>1224948.6666666667</v>
          </cell>
          <cell r="AA11">
            <v>1378067.25</v>
          </cell>
          <cell r="AB11">
            <v>1531185.8333333333</v>
          </cell>
          <cell r="AC11">
            <v>1684304.4166666665</v>
          </cell>
          <cell r="AD11">
            <v>1837422.9999999998</v>
          </cell>
        </row>
        <row r="12">
          <cell r="B12" t="str">
            <v>FY14-Cash Labor Costs</v>
          </cell>
          <cell r="C12" t="str">
            <v>Cash Labor Costs</v>
          </cell>
          <cell r="D12">
            <v>695882.08333333337</v>
          </cell>
          <cell r="E12">
            <v>695882.08333333337</v>
          </cell>
          <cell r="F12">
            <v>695882.08333333337</v>
          </cell>
          <cell r="G12">
            <v>695882.08333333337</v>
          </cell>
          <cell r="H12">
            <v>695882.08333333337</v>
          </cell>
          <cell r="I12">
            <v>695882.08333333337</v>
          </cell>
          <cell r="J12">
            <v>695882.08333333337</v>
          </cell>
          <cell r="K12">
            <v>695882.08333333337</v>
          </cell>
          <cell r="L12">
            <v>695882.08333333337</v>
          </cell>
          <cell r="M12">
            <v>695882.08333333337</v>
          </cell>
          <cell r="N12">
            <v>695882.08333333337</v>
          </cell>
          <cell r="O12">
            <v>695882.08333333337</v>
          </cell>
          <cell r="P12">
            <v>8350584.9999999991</v>
          </cell>
          <cell r="R12" t="str">
            <v>FY14-Cash Labor Costs</v>
          </cell>
          <cell r="S12">
            <v>695882.08333333337</v>
          </cell>
          <cell r="T12">
            <v>1391764.1666666667</v>
          </cell>
          <cell r="U12">
            <v>2087646.25</v>
          </cell>
          <cell r="V12">
            <v>2783528.3333333335</v>
          </cell>
          <cell r="W12">
            <v>3479410.416666667</v>
          </cell>
          <cell r="X12">
            <v>4175292.5000000005</v>
          </cell>
          <cell r="Y12">
            <v>4871174.583333334</v>
          </cell>
          <cell r="Z12">
            <v>5567056.666666667</v>
          </cell>
          <cell r="AA12">
            <v>6262938.75</v>
          </cell>
          <cell r="AB12">
            <v>6958820.833333333</v>
          </cell>
          <cell r="AC12">
            <v>7654702.916666666</v>
          </cell>
          <cell r="AD12">
            <v>8350584.9999999991</v>
          </cell>
        </row>
        <row r="13">
          <cell r="B13" t="str">
            <v>FY14-Non-Cash Labor Costs</v>
          </cell>
          <cell r="C13" t="str">
            <v>Non-Cash Labor Costs</v>
          </cell>
          <cell r="D13">
            <v>250000</v>
          </cell>
          <cell r="E13">
            <v>250000</v>
          </cell>
          <cell r="F13">
            <v>250000</v>
          </cell>
          <cell r="G13">
            <v>250000</v>
          </cell>
          <cell r="H13">
            <v>250000</v>
          </cell>
          <cell r="I13">
            <v>250000</v>
          </cell>
          <cell r="J13">
            <v>250000</v>
          </cell>
          <cell r="K13">
            <v>250000</v>
          </cell>
          <cell r="L13">
            <v>250000</v>
          </cell>
          <cell r="M13">
            <v>250000</v>
          </cell>
          <cell r="N13">
            <v>250000</v>
          </cell>
          <cell r="O13">
            <v>250000</v>
          </cell>
          <cell r="P13">
            <v>3000000</v>
          </cell>
          <cell r="R13" t="str">
            <v>FY14-Non-Cash Labor Costs</v>
          </cell>
          <cell r="S13">
            <v>250000</v>
          </cell>
          <cell r="T13">
            <v>500000</v>
          </cell>
          <cell r="U13">
            <v>750000</v>
          </cell>
          <cell r="V13">
            <v>1000000</v>
          </cell>
          <cell r="W13">
            <v>1250000</v>
          </cell>
          <cell r="X13">
            <v>1500000</v>
          </cell>
          <cell r="Y13">
            <v>1750000</v>
          </cell>
          <cell r="Z13">
            <v>2000000</v>
          </cell>
          <cell r="AA13">
            <v>2250000</v>
          </cell>
          <cell r="AB13">
            <v>2500000</v>
          </cell>
          <cell r="AC13">
            <v>2750000</v>
          </cell>
          <cell r="AD13">
            <v>3000000</v>
          </cell>
        </row>
        <row r="14">
          <cell r="B14" t="str">
            <v>FY14-Cash Labor Hours</v>
          </cell>
          <cell r="C14" t="str">
            <v>Cash Labor Hours</v>
          </cell>
          <cell r="D14">
            <v>4635.583333333333</v>
          </cell>
          <cell r="E14">
            <v>4635.583333333333</v>
          </cell>
          <cell r="F14">
            <v>4635.583333333333</v>
          </cell>
          <cell r="G14">
            <v>4635.583333333333</v>
          </cell>
          <cell r="H14">
            <v>4635.583333333333</v>
          </cell>
          <cell r="I14">
            <v>4635.583333333333</v>
          </cell>
          <cell r="J14">
            <v>4635.583333333333</v>
          </cell>
          <cell r="K14">
            <v>4635.583333333333</v>
          </cell>
          <cell r="L14">
            <v>4635.583333333333</v>
          </cell>
          <cell r="M14">
            <v>4635.583333333333</v>
          </cell>
          <cell r="N14">
            <v>4635.583333333333</v>
          </cell>
          <cell r="O14">
            <v>4635.583333333333</v>
          </cell>
          <cell r="P14">
            <v>55627.000000000007</v>
          </cell>
          <cell r="R14" t="str">
            <v>FY14-Cash Labor Hours</v>
          </cell>
          <cell r="S14">
            <v>4635.583333333333</v>
          </cell>
          <cell r="T14">
            <v>9271.1666666666661</v>
          </cell>
          <cell r="U14">
            <v>13906.75</v>
          </cell>
          <cell r="V14">
            <v>18542.333333333332</v>
          </cell>
          <cell r="W14">
            <v>23177.916666666664</v>
          </cell>
          <cell r="X14">
            <v>27813.499999999996</v>
          </cell>
          <cell r="Y14">
            <v>32449.083333333328</v>
          </cell>
          <cell r="Z14">
            <v>37084.666666666664</v>
          </cell>
          <cell r="AA14">
            <v>41720.25</v>
          </cell>
          <cell r="AB14">
            <v>46355.833333333336</v>
          </cell>
          <cell r="AC14">
            <v>50991.416666666672</v>
          </cell>
          <cell r="AD14">
            <v>55627.000000000007</v>
          </cell>
        </row>
        <row r="15">
          <cell r="B15" t="str">
            <v>FY14-Non-Cash Labor Hours</v>
          </cell>
          <cell r="C15" t="str">
            <v>Non-Cash Labor Hours</v>
          </cell>
          <cell r="D15">
            <v>2905.9166666666665</v>
          </cell>
          <cell r="E15">
            <v>2905.9166666666665</v>
          </cell>
          <cell r="F15">
            <v>2905.9166666666665</v>
          </cell>
          <cell r="G15">
            <v>2905.9166666666665</v>
          </cell>
          <cell r="H15">
            <v>2905.9166666666665</v>
          </cell>
          <cell r="I15">
            <v>2905.9166666666665</v>
          </cell>
          <cell r="J15">
            <v>2905.9166666666665</v>
          </cell>
          <cell r="K15">
            <v>2905.9166666666665</v>
          </cell>
          <cell r="L15">
            <v>2905.9166666666665</v>
          </cell>
          <cell r="M15">
            <v>2905.9166666666665</v>
          </cell>
          <cell r="N15">
            <v>2905.9166666666665</v>
          </cell>
          <cell r="O15">
            <v>2905.9166666666665</v>
          </cell>
          <cell r="P15">
            <v>34871.000000000007</v>
          </cell>
          <cell r="R15" t="str">
            <v>FY14-Non-Cash Labor Hours</v>
          </cell>
          <cell r="S15">
            <v>2905.9166666666665</v>
          </cell>
          <cell r="T15">
            <v>5811.833333333333</v>
          </cell>
          <cell r="U15">
            <v>8717.75</v>
          </cell>
          <cell r="V15">
            <v>11623.666666666666</v>
          </cell>
          <cell r="W15">
            <v>14529.583333333332</v>
          </cell>
          <cell r="X15">
            <v>17435.5</v>
          </cell>
          <cell r="Y15">
            <v>20341.416666666668</v>
          </cell>
          <cell r="Z15">
            <v>23247.333333333336</v>
          </cell>
          <cell r="AA15">
            <v>26153.250000000004</v>
          </cell>
          <cell r="AB15">
            <v>29059.166666666672</v>
          </cell>
          <cell r="AC15">
            <v>31965.083333333339</v>
          </cell>
          <cell r="AD15">
            <v>34871.000000000007</v>
          </cell>
        </row>
        <row r="16">
          <cell r="B16" t="str">
            <v>FY14-Total Cost</v>
          </cell>
          <cell r="C16" t="str">
            <v>Total Cost</v>
          </cell>
          <cell r="D16">
            <v>1099000.6666666667</v>
          </cell>
          <cell r="E16">
            <v>1099000.6666666667</v>
          </cell>
          <cell r="F16">
            <v>1099000.6666666667</v>
          </cell>
          <cell r="G16">
            <v>1099000.6666666667</v>
          </cell>
          <cell r="H16">
            <v>1099000.6666666667</v>
          </cell>
          <cell r="I16">
            <v>1099000.6666666667</v>
          </cell>
          <cell r="J16">
            <v>1099000.6666666667</v>
          </cell>
          <cell r="K16">
            <v>1099000.6666666667</v>
          </cell>
          <cell r="L16">
            <v>1099000.6666666667</v>
          </cell>
          <cell r="M16">
            <v>1099000.6666666667</v>
          </cell>
          <cell r="N16">
            <v>1099000.6666666667</v>
          </cell>
          <cell r="O16">
            <v>1099000.6666666667</v>
          </cell>
          <cell r="P16">
            <v>13188007.999999998</v>
          </cell>
          <cell r="R16" t="str">
            <v>FY14-Total Cost</v>
          </cell>
          <cell r="S16">
            <v>1099000.6666666667</v>
          </cell>
          <cell r="T16">
            <v>2198001.3333333335</v>
          </cell>
          <cell r="U16">
            <v>3297002</v>
          </cell>
          <cell r="V16">
            <v>4396002.666666667</v>
          </cell>
          <cell r="W16">
            <v>5495003.333333334</v>
          </cell>
          <cell r="X16">
            <v>6594004.0000000009</v>
          </cell>
          <cell r="Y16">
            <v>7693004.6666666679</v>
          </cell>
          <cell r="Z16">
            <v>8792005.333333334</v>
          </cell>
          <cell r="AA16">
            <v>9891006</v>
          </cell>
          <cell r="AB16">
            <v>10990006.666666666</v>
          </cell>
          <cell r="AC16">
            <v>12089007.333333332</v>
          </cell>
          <cell r="AD16">
            <v>13188007.999999998</v>
          </cell>
        </row>
        <row r="17">
          <cell r="B17" t="str">
            <v>FY14-Total Hours</v>
          </cell>
          <cell r="C17" t="str">
            <v>Total Hours</v>
          </cell>
          <cell r="D17">
            <v>7541.5</v>
          </cell>
          <cell r="E17">
            <v>7541.5</v>
          </cell>
          <cell r="F17">
            <v>7541.5</v>
          </cell>
          <cell r="G17">
            <v>7541.5</v>
          </cell>
          <cell r="H17">
            <v>7541.5</v>
          </cell>
          <cell r="I17">
            <v>7541.5</v>
          </cell>
          <cell r="J17">
            <v>7541.5</v>
          </cell>
          <cell r="K17">
            <v>7541.5</v>
          </cell>
          <cell r="L17">
            <v>7541.5</v>
          </cell>
          <cell r="M17">
            <v>7541.5</v>
          </cell>
          <cell r="N17">
            <v>7541.5</v>
          </cell>
          <cell r="O17">
            <v>7541.5</v>
          </cell>
          <cell r="P17">
            <v>90498</v>
          </cell>
          <cell r="R17" t="str">
            <v>FY14-Total Hours</v>
          </cell>
          <cell r="S17">
            <v>7541.5</v>
          </cell>
          <cell r="T17">
            <v>15083</v>
          </cell>
          <cell r="U17">
            <v>22624.5</v>
          </cell>
          <cell r="V17">
            <v>30166</v>
          </cell>
          <cell r="W17">
            <v>37707.5</v>
          </cell>
          <cell r="X17">
            <v>45249</v>
          </cell>
          <cell r="Y17">
            <v>52790.5</v>
          </cell>
          <cell r="Z17">
            <v>60332</v>
          </cell>
          <cell r="AA17">
            <v>67873.5</v>
          </cell>
          <cell r="AB17">
            <v>75415</v>
          </cell>
          <cell r="AC17">
            <v>82956.500000000015</v>
          </cell>
          <cell r="AD17">
            <v>90498.000000000015</v>
          </cell>
        </row>
        <row r="18">
          <cell r="B18" t="str">
            <v>FY15-Non-Labor Cost</v>
          </cell>
          <cell r="C18" t="str">
            <v>Non-Labor Cost</v>
          </cell>
          <cell r="D18">
            <v>0</v>
          </cell>
          <cell r="E18">
            <v>0</v>
          </cell>
          <cell r="F18">
            <v>0</v>
          </cell>
          <cell r="G18">
            <v>0</v>
          </cell>
          <cell r="H18">
            <v>0</v>
          </cell>
          <cell r="I18">
            <v>0</v>
          </cell>
          <cell r="J18">
            <v>0</v>
          </cell>
          <cell r="K18">
            <v>0</v>
          </cell>
          <cell r="L18">
            <v>0</v>
          </cell>
          <cell r="M18">
            <v>0</v>
          </cell>
          <cell r="N18">
            <v>0</v>
          </cell>
          <cell r="O18">
            <v>0</v>
          </cell>
          <cell r="P18">
            <v>0</v>
          </cell>
          <cell r="R18" t="str">
            <v>FY15-Non-Labor Cost</v>
          </cell>
          <cell r="S18">
            <v>0</v>
          </cell>
          <cell r="T18">
            <v>0</v>
          </cell>
          <cell r="U18">
            <v>0</v>
          </cell>
          <cell r="V18">
            <v>0</v>
          </cell>
          <cell r="W18">
            <v>0</v>
          </cell>
          <cell r="X18">
            <v>0</v>
          </cell>
          <cell r="Y18">
            <v>0</v>
          </cell>
          <cell r="Z18">
            <v>0</v>
          </cell>
          <cell r="AA18">
            <v>0</v>
          </cell>
          <cell r="AB18">
            <v>0</v>
          </cell>
          <cell r="AC18">
            <v>0</v>
          </cell>
          <cell r="AD18">
            <v>0</v>
          </cell>
        </row>
        <row r="19">
          <cell r="B19" t="str">
            <v>FY15-Cash Labor Costs</v>
          </cell>
          <cell r="C19" t="str">
            <v>Cash Labor Costs</v>
          </cell>
          <cell r="D19">
            <v>0</v>
          </cell>
          <cell r="E19">
            <v>0</v>
          </cell>
          <cell r="F19">
            <v>0</v>
          </cell>
          <cell r="G19">
            <v>0</v>
          </cell>
          <cell r="H19">
            <v>0</v>
          </cell>
          <cell r="I19">
            <v>0</v>
          </cell>
          <cell r="J19">
            <v>0</v>
          </cell>
          <cell r="K19">
            <v>0</v>
          </cell>
          <cell r="L19">
            <v>0</v>
          </cell>
          <cell r="M19">
            <v>0</v>
          </cell>
          <cell r="N19">
            <v>0</v>
          </cell>
          <cell r="O19">
            <v>0</v>
          </cell>
          <cell r="P19">
            <v>0</v>
          </cell>
          <cell r="R19" t="str">
            <v>FY15-Cash Labor Costs</v>
          </cell>
          <cell r="S19">
            <v>0</v>
          </cell>
          <cell r="T19">
            <v>0</v>
          </cell>
          <cell r="U19">
            <v>0</v>
          </cell>
          <cell r="V19">
            <v>0</v>
          </cell>
          <cell r="W19">
            <v>0</v>
          </cell>
          <cell r="X19">
            <v>0</v>
          </cell>
          <cell r="Y19">
            <v>0</v>
          </cell>
          <cell r="Z19">
            <v>0</v>
          </cell>
          <cell r="AA19">
            <v>0</v>
          </cell>
          <cell r="AB19">
            <v>0</v>
          </cell>
          <cell r="AC19">
            <v>0</v>
          </cell>
          <cell r="AD19">
            <v>0</v>
          </cell>
        </row>
        <row r="20">
          <cell r="B20" t="str">
            <v>FY15-Non-Cash Labor Costs</v>
          </cell>
          <cell r="C20" t="str">
            <v>Non-Cash Labor Costs</v>
          </cell>
          <cell r="D20">
            <v>0</v>
          </cell>
          <cell r="E20">
            <v>0</v>
          </cell>
          <cell r="F20">
            <v>0</v>
          </cell>
          <cell r="G20">
            <v>0</v>
          </cell>
          <cell r="H20">
            <v>0</v>
          </cell>
          <cell r="I20">
            <v>0</v>
          </cell>
          <cell r="J20">
            <v>0</v>
          </cell>
          <cell r="K20">
            <v>0</v>
          </cell>
          <cell r="L20">
            <v>0</v>
          </cell>
          <cell r="M20">
            <v>0</v>
          </cell>
          <cell r="N20">
            <v>0</v>
          </cell>
          <cell r="O20">
            <v>0</v>
          </cell>
          <cell r="P20">
            <v>0</v>
          </cell>
          <cell r="R20" t="str">
            <v>FY15-Non-Cash Labor Costs</v>
          </cell>
          <cell r="S20">
            <v>0</v>
          </cell>
          <cell r="T20">
            <v>0</v>
          </cell>
          <cell r="U20">
            <v>0</v>
          </cell>
          <cell r="V20">
            <v>0</v>
          </cell>
          <cell r="W20">
            <v>0</v>
          </cell>
          <cell r="X20">
            <v>0</v>
          </cell>
          <cell r="Y20">
            <v>0</v>
          </cell>
          <cell r="Z20">
            <v>0</v>
          </cell>
          <cell r="AA20">
            <v>0</v>
          </cell>
          <cell r="AB20">
            <v>0</v>
          </cell>
          <cell r="AC20">
            <v>0</v>
          </cell>
          <cell r="AD20">
            <v>0</v>
          </cell>
        </row>
        <row r="21">
          <cell r="B21" t="str">
            <v>FY15-Cash Labor Hours</v>
          </cell>
          <cell r="C21" t="str">
            <v>Cash Labor Hours</v>
          </cell>
          <cell r="D21">
            <v>0</v>
          </cell>
          <cell r="E21">
            <v>0</v>
          </cell>
          <cell r="F21">
            <v>0</v>
          </cell>
          <cell r="G21">
            <v>0</v>
          </cell>
          <cell r="H21">
            <v>0</v>
          </cell>
          <cell r="I21">
            <v>0</v>
          </cell>
          <cell r="J21">
            <v>0</v>
          </cell>
          <cell r="K21">
            <v>0</v>
          </cell>
          <cell r="L21">
            <v>0</v>
          </cell>
          <cell r="M21">
            <v>0</v>
          </cell>
          <cell r="N21">
            <v>0</v>
          </cell>
          <cell r="O21">
            <v>0</v>
          </cell>
          <cell r="P21">
            <v>0</v>
          </cell>
          <cell r="R21" t="str">
            <v>FY15-Cash Labor Hours</v>
          </cell>
          <cell r="S21">
            <v>0</v>
          </cell>
          <cell r="T21">
            <v>0</v>
          </cell>
          <cell r="U21">
            <v>0</v>
          </cell>
          <cell r="V21">
            <v>0</v>
          </cell>
          <cell r="W21">
            <v>0</v>
          </cell>
          <cell r="X21">
            <v>0</v>
          </cell>
          <cell r="Y21">
            <v>0</v>
          </cell>
          <cell r="Z21">
            <v>0</v>
          </cell>
          <cell r="AA21">
            <v>0</v>
          </cell>
          <cell r="AB21">
            <v>0</v>
          </cell>
          <cell r="AC21">
            <v>0</v>
          </cell>
          <cell r="AD21">
            <v>0</v>
          </cell>
        </row>
        <row r="22">
          <cell r="B22" t="str">
            <v>FY15-Non-Cash Labor Hours</v>
          </cell>
          <cell r="C22" t="str">
            <v>Non-Cash Labor Hours</v>
          </cell>
          <cell r="D22">
            <v>0</v>
          </cell>
          <cell r="E22">
            <v>0</v>
          </cell>
          <cell r="F22">
            <v>0</v>
          </cell>
          <cell r="G22">
            <v>0</v>
          </cell>
          <cell r="H22">
            <v>0</v>
          </cell>
          <cell r="I22">
            <v>0</v>
          </cell>
          <cell r="J22">
            <v>0</v>
          </cell>
          <cell r="K22">
            <v>0</v>
          </cell>
          <cell r="L22">
            <v>0</v>
          </cell>
          <cell r="M22">
            <v>0</v>
          </cell>
          <cell r="N22">
            <v>0</v>
          </cell>
          <cell r="O22">
            <v>0</v>
          </cell>
          <cell r="P22">
            <v>0</v>
          </cell>
          <cell r="R22" t="str">
            <v>FY15-Non-Cash Labor Hours</v>
          </cell>
          <cell r="S22">
            <v>0</v>
          </cell>
          <cell r="T22">
            <v>0</v>
          </cell>
          <cell r="U22">
            <v>0</v>
          </cell>
          <cell r="V22">
            <v>0</v>
          </cell>
          <cell r="W22">
            <v>0</v>
          </cell>
          <cell r="X22">
            <v>0</v>
          </cell>
          <cell r="Y22">
            <v>0</v>
          </cell>
          <cell r="Z22">
            <v>0</v>
          </cell>
          <cell r="AA22">
            <v>0</v>
          </cell>
          <cell r="AB22">
            <v>0</v>
          </cell>
          <cell r="AC22">
            <v>0</v>
          </cell>
          <cell r="AD22">
            <v>0</v>
          </cell>
        </row>
        <row r="23">
          <cell r="B23" t="str">
            <v>FY15-Total Cost</v>
          </cell>
          <cell r="C23" t="str">
            <v>Total Cost</v>
          </cell>
          <cell r="D23">
            <v>0</v>
          </cell>
          <cell r="E23">
            <v>0</v>
          </cell>
          <cell r="F23">
            <v>0</v>
          </cell>
          <cell r="G23">
            <v>0</v>
          </cell>
          <cell r="H23">
            <v>0</v>
          </cell>
          <cell r="I23">
            <v>0</v>
          </cell>
          <cell r="J23">
            <v>0</v>
          </cell>
          <cell r="K23">
            <v>0</v>
          </cell>
          <cell r="L23">
            <v>0</v>
          </cell>
          <cell r="M23">
            <v>0</v>
          </cell>
          <cell r="N23">
            <v>0</v>
          </cell>
          <cell r="O23">
            <v>0</v>
          </cell>
          <cell r="P23">
            <v>0</v>
          </cell>
          <cell r="R23" t="str">
            <v>FY15-Total Cost</v>
          </cell>
          <cell r="S23">
            <v>0</v>
          </cell>
          <cell r="T23">
            <v>0</v>
          </cell>
          <cell r="U23">
            <v>0</v>
          </cell>
          <cell r="V23">
            <v>0</v>
          </cell>
          <cell r="W23">
            <v>0</v>
          </cell>
          <cell r="X23">
            <v>0</v>
          </cell>
          <cell r="Y23">
            <v>0</v>
          </cell>
          <cell r="Z23">
            <v>0</v>
          </cell>
          <cell r="AA23">
            <v>0</v>
          </cell>
          <cell r="AB23">
            <v>0</v>
          </cell>
          <cell r="AC23">
            <v>0</v>
          </cell>
          <cell r="AD23">
            <v>0</v>
          </cell>
        </row>
        <row r="24">
          <cell r="B24" t="str">
            <v>FY15-Total Hours</v>
          </cell>
          <cell r="C24" t="str">
            <v>Total Hours</v>
          </cell>
          <cell r="D24">
            <v>0</v>
          </cell>
          <cell r="E24">
            <v>0</v>
          </cell>
          <cell r="F24">
            <v>0</v>
          </cell>
          <cell r="G24">
            <v>0</v>
          </cell>
          <cell r="H24">
            <v>0</v>
          </cell>
          <cell r="I24">
            <v>0</v>
          </cell>
          <cell r="J24">
            <v>0</v>
          </cell>
          <cell r="K24">
            <v>0</v>
          </cell>
          <cell r="L24">
            <v>0</v>
          </cell>
          <cell r="M24">
            <v>0</v>
          </cell>
          <cell r="N24">
            <v>0</v>
          </cell>
          <cell r="O24">
            <v>0</v>
          </cell>
          <cell r="P24">
            <v>0</v>
          </cell>
          <cell r="R24" t="str">
            <v>FY15-Total Hours</v>
          </cell>
          <cell r="S24">
            <v>0</v>
          </cell>
          <cell r="T24">
            <v>0</v>
          </cell>
          <cell r="U24">
            <v>0</v>
          </cell>
          <cell r="V24">
            <v>0</v>
          </cell>
          <cell r="W24">
            <v>0</v>
          </cell>
          <cell r="X24">
            <v>0</v>
          </cell>
          <cell r="Y24">
            <v>0</v>
          </cell>
          <cell r="Z24">
            <v>0</v>
          </cell>
          <cell r="AA24">
            <v>0</v>
          </cell>
          <cell r="AB24">
            <v>0</v>
          </cell>
          <cell r="AC24">
            <v>0</v>
          </cell>
          <cell r="AD24">
            <v>0</v>
          </cell>
        </row>
        <row r="26">
          <cell r="B26" t="str">
            <v>Total-Non-Labor Cost</v>
          </cell>
          <cell r="C26" t="str">
            <v>Non-Labor Cost</v>
          </cell>
          <cell r="D26">
            <v>391898.83333333337</v>
          </cell>
          <cell r="E26">
            <v>391898.83333333337</v>
          </cell>
          <cell r="F26">
            <v>391898.83333333337</v>
          </cell>
          <cell r="G26">
            <v>391898.83333333337</v>
          </cell>
          <cell r="H26">
            <v>391898.83333333337</v>
          </cell>
          <cell r="I26">
            <v>391898.83333333337</v>
          </cell>
          <cell r="J26">
            <v>391898.83333333337</v>
          </cell>
          <cell r="K26">
            <v>391898.83333333337</v>
          </cell>
          <cell r="L26">
            <v>391898.83333333337</v>
          </cell>
          <cell r="M26">
            <v>391898.83333333337</v>
          </cell>
          <cell r="N26">
            <v>391898.83333333337</v>
          </cell>
          <cell r="O26">
            <v>391898.83333333337</v>
          </cell>
          <cell r="P26">
            <v>4702786.0000000009</v>
          </cell>
        </row>
        <row r="27">
          <cell r="B27" t="str">
            <v>Total-Cash Labor Costs</v>
          </cell>
          <cell r="C27" t="str">
            <v>Cash Labor Costs</v>
          </cell>
          <cell r="D27">
            <v>1149767.8333333335</v>
          </cell>
          <cell r="E27">
            <v>1149767.8333333335</v>
          </cell>
          <cell r="F27">
            <v>1149767.8333333335</v>
          </cell>
          <cell r="G27">
            <v>1149767.8333333335</v>
          </cell>
          <cell r="H27">
            <v>1149767.8333333335</v>
          </cell>
          <cell r="I27">
            <v>1149767.8333333335</v>
          </cell>
          <cell r="J27">
            <v>1149767.8333333335</v>
          </cell>
          <cell r="K27">
            <v>1149767.8333333335</v>
          </cell>
          <cell r="L27">
            <v>1149767.8333333335</v>
          </cell>
          <cell r="M27">
            <v>1149767.8333333335</v>
          </cell>
          <cell r="N27">
            <v>1149767.8333333335</v>
          </cell>
          <cell r="O27">
            <v>1149767.8333333335</v>
          </cell>
          <cell r="P27">
            <v>13797214.000000006</v>
          </cell>
        </row>
        <row r="28">
          <cell r="B28" t="str">
            <v>Total-Non-Cash Labor Costs</v>
          </cell>
          <cell r="C28" t="str">
            <v>Non-Cash Labor Costs</v>
          </cell>
          <cell r="D28">
            <v>333333.33333333331</v>
          </cell>
          <cell r="E28">
            <v>333333.33333333331</v>
          </cell>
          <cell r="F28">
            <v>333333.33333333331</v>
          </cell>
          <cell r="G28">
            <v>333333.33333333331</v>
          </cell>
          <cell r="H28">
            <v>333333.33333333331</v>
          </cell>
          <cell r="I28">
            <v>333333.33333333331</v>
          </cell>
          <cell r="J28">
            <v>333333.33333333331</v>
          </cell>
          <cell r="K28">
            <v>333333.33333333331</v>
          </cell>
          <cell r="L28">
            <v>333333.33333333331</v>
          </cell>
          <cell r="M28">
            <v>333333.33333333331</v>
          </cell>
          <cell r="N28">
            <v>333333.33333333331</v>
          </cell>
          <cell r="O28">
            <v>333333.33333333331</v>
          </cell>
          <cell r="P28">
            <v>4000000.0000000005</v>
          </cell>
        </row>
        <row r="29">
          <cell r="B29" t="str">
            <v>Total-Cash Labor Hours</v>
          </cell>
          <cell r="C29" t="str">
            <v>Cash Labor Hours</v>
          </cell>
          <cell r="D29">
            <v>10387.583333333332</v>
          </cell>
          <cell r="E29">
            <v>10387.583333333332</v>
          </cell>
          <cell r="F29">
            <v>10387.583333333332</v>
          </cell>
          <cell r="G29">
            <v>10387.583333333332</v>
          </cell>
          <cell r="H29">
            <v>10387.583333333332</v>
          </cell>
          <cell r="I29">
            <v>10387.583333333332</v>
          </cell>
          <cell r="J29">
            <v>10387.583333333332</v>
          </cell>
          <cell r="K29">
            <v>10387.583333333332</v>
          </cell>
          <cell r="L29">
            <v>10387.583333333332</v>
          </cell>
          <cell r="M29">
            <v>10387.583333333332</v>
          </cell>
          <cell r="N29">
            <v>10387.583333333332</v>
          </cell>
          <cell r="O29">
            <v>10387.583333333332</v>
          </cell>
          <cell r="P29">
            <v>124650.99999999996</v>
          </cell>
        </row>
        <row r="30">
          <cell r="B30" t="str">
            <v>Total-Non-Cash Labor Hours</v>
          </cell>
          <cell r="C30" t="str">
            <v>Non-Cash Labor Hours</v>
          </cell>
          <cell r="D30">
            <v>6340.083333333333</v>
          </cell>
          <cell r="E30">
            <v>6340.083333333333</v>
          </cell>
          <cell r="F30">
            <v>6340.083333333333</v>
          </cell>
          <cell r="G30">
            <v>6340.083333333333</v>
          </cell>
          <cell r="H30">
            <v>6340.083333333333</v>
          </cell>
          <cell r="I30">
            <v>6340.083333333333</v>
          </cell>
          <cell r="J30">
            <v>6340.083333333333</v>
          </cell>
          <cell r="K30">
            <v>6340.083333333333</v>
          </cell>
          <cell r="L30">
            <v>6340.083333333333</v>
          </cell>
          <cell r="M30">
            <v>6340.083333333333</v>
          </cell>
          <cell r="N30">
            <v>6340.083333333333</v>
          </cell>
          <cell r="O30">
            <v>6340.083333333333</v>
          </cell>
          <cell r="P30">
            <v>76081</v>
          </cell>
        </row>
        <row r="31">
          <cell r="B31" t="str">
            <v>Total-Total Cost</v>
          </cell>
          <cell r="C31" t="str">
            <v>Total Cost</v>
          </cell>
          <cell r="D31">
            <v>1875000</v>
          </cell>
          <cell r="E31">
            <v>1875000</v>
          </cell>
          <cell r="F31">
            <v>1875000</v>
          </cell>
          <cell r="G31">
            <v>1875000</v>
          </cell>
          <cell r="H31">
            <v>1875000</v>
          </cell>
          <cell r="I31">
            <v>1875000</v>
          </cell>
          <cell r="J31">
            <v>1875000</v>
          </cell>
          <cell r="K31">
            <v>1875000</v>
          </cell>
          <cell r="L31">
            <v>1875000</v>
          </cell>
          <cell r="M31">
            <v>1875000</v>
          </cell>
          <cell r="N31">
            <v>1875000</v>
          </cell>
          <cell r="O31">
            <v>1875000</v>
          </cell>
          <cell r="P31">
            <v>22500000</v>
          </cell>
        </row>
        <row r="32">
          <cell r="B32" t="str">
            <v>Total-Total Hours</v>
          </cell>
          <cell r="C32" t="str">
            <v>Total Hours</v>
          </cell>
          <cell r="D32">
            <v>16727.666666666664</v>
          </cell>
          <cell r="E32">
            <v>16727.666666666664</v>
          </cell>
          <cell r="F32">
            <v>16727.666666666664</v>
          </cell>
          <cell r="G32">
            <v>16727.666666666664</v>
          </cell>
          <cell r="H32">
            <v>16727.666666666664</v>
          </cell>
          <cell r="I32">
            <v>16727.666666666664</v>
          </cell>
          <cell r="J32">
            <v>16727.666666666664</v>
          </cell>
          <cell r="K32">
            <v>16727.666666666664</v>
          </cell>
          <cell r="L32">
            <v>16727.666666666664</v>
          </cell>
          <cell r="M32">
            <v>16727.666666666664</v>
          </cell>
          <cell r="N32">
            <v>16727.666666666664</v>
          </cell>
          <cell r="O32">
            <v>16727.666666666664</v>
          </cell>
          <cell r="P32">
            <v>200731.99999999991</v>
          </cell>
        </row>
        <row r="36">
          <cell r="B36" t="str">
            <v>FY13-Univ PBA</v>
          </cell>
          <cell r="C36" t="str">
            <v>Univ PBA</v>
          </cell>
          <cell r="D36">
            <v>0</v>
          </cell>
          <cell r="E36">
            <v>0</v>
          </cell>
          <cell r="F36">
            <v>0</v>
          </cell>
          <cell r="G36">
            <v>0</v>
          </cell>
          <cell r="H36">
            <v>0</v>
          </cell>
          <cell r="I36">
            <v>0</v>
          </cell>
          <cell r="J36">
            <v>0</v>
          </cell>
          <cell r="K36">
            <v>0</v>
          </cell>
          <cell r="L36">
            <v>0</v>
          </cell>
          <cell r="M36">
            <v>0</v>
          </cell>
          <cell r="N36">
            <v>0</v>
          </cell>
          <cell r="O36">
            <v>0</v>
          </cell>
          <cell r="P36">
            <v>0</v>
          </cell>
          <cell r="R36" t="str">
            <v>FY13-Univ PBA</v>
          </cell>
          <cell r="S36">
            <v>0</v>
          </cell>
          <cell r="T36">
            <v>0</v>
          </cell>
          <cell r="U36">
            <v>0</v>
          </cell>
          <cell r="V36">
            <v>0</v>
          </cell>
          <cell r="W36">
            <v>0</v>
          </cell>
          <cell r="X36">
            <v>0</v>
          </cell>
          <cell r="Y36">
            <v>0</v>
          </cell>
          <cell r="Z36">
            <v>0</v>
          </cell>
          <cell r="AA36">
            <v>0</v>
          </cell>
          <cell r="AB36">
            <v>0</v>
          </cell>
          <cell r="AC36">
            <v>0</v>
          </cell>
          <cell r="AD36">
            <v>0</v>
          </cell>
        </row>
        <row r="37">
          <cell r="B37" t="str">
            <v>FY13-Univ Cash</v>
          </cell>
          <cell r="C37" t="str">
            <v>Univ Cash</v>
          </cell>
          <cell r="D37">
            <v>0</v>
          </cell>
          <cell r="E37">
            <v>0</v>
          </cell>
          <cell r="F37">
            <v>0</v>
          </cell>
          <cell r="G37">
            <v>0</v>
          </cell>
          <cell r="H37">
            <v>0</v>
          </cell>
          <cell r="I37">
            <v>0</v>
          </cell>
          <cell r="J37">
            <v>0</v>
          </cell>
          <cell r="K37">
            <v>0</v>
          </cell>
          <cell r="L37">
            <v>0</v>
          </cell>
          <cell r="M37">
            <v>0</v>
          </cell>
          <cell r="N37">
            <v>0</v>
          </cell>
          <cell r="O37">
            <v>10000000</v>
          </cell>
          <cell r="P37">
            <v>10000000</v>
          </cell>
          <cell r="R37" t="str">
            <v>FY13-Univ Cash</v>
          </cell>
          <cell r="S37">
            <v>0</v>
          </cell>
          <cell r="T37">
            <v>0</v>
          </cell>
          <cell r="U37">
            <v>0</v>
          </cell>
          <cell r="V37">
            <v>0</v>
          </cell>
          <cell r="W37">
            <v>0</v>
          </cell>
          <cell r="X37">
            <v>0</v>
          </cell>
          <cell r="Y37">
            <v>0</v>
          </cell>
          <cell r="Z37">
            <v>0</v>
          </cell>
          <cell r="AA37">
            <v>0</v>
          </cell>
          <cell r="AB37">
            <v>0</v>
          </cell>
          <cell r="AC37">
            <v>0</v>
          </cell>
          <cell r="AD37">
            <v>10000000</v>
          </cell>
        </row>
        <row r="38">
          <cell r="B38" t="str">
            <v>FY13-CIO PBA</v>
          </cell>
          <cell r="C38" t="str">
            <v>CIO PBA</v>
          </cell>
          <cell r="D38">
            <v>0</v>
          </cell>
          <cell r="E38">
            <v>0</v>
          </cell>
          <cell r="F38">
            <v>0</v>
          </cell>
          <cell r="G38">
            <v>0</v>
          </cell>
          <cell r="H38">
            <v>0</v>
          </cell>
          <cell r="I38">
            <v>0</v>
          </cell>
          <cell r="J38">
            <v>0</v>
          </cell>
          <cell r="K38">
            <v>0</v>
          </cell>
          <cell r="L38">
            <v>0</v>
          </cell>
          <cell r="M38">
            <v>0</v>
          </cell>
          <cell r="N38">
            <v>0</v>
          </cell>
          <cell r="O38">
            <v>0</v>
          </cell>
          <cell r="P38">
            <v>0</v>
          </cell>
          <cell r="R38" t="str">
            <v>FY13-CIO PBA</v>
          </cell>
          <cell r="S38">
            <v>0</v>
          </cell>
          <cell r="T38">
            <v>0</v>
          </cell>
          <cell r="U38">
            <v>0</v>
          </cell>
          <cell r="V38">
            <v>0</v>
          </cell>
          <cell r="W38">
            <v>0</v>
          </cell>
          <cell r="X38">
            <v>0</v>
          </cell>
          <cell r="Y38">
            <v>0</v>
          </cell>
          <cell r="Z38">
            <v>0</v>
          </cell>
          <cell r="AA38">
            <v>0</v>
          </cell>
          <cell r="AB38">
            <v>0</v>
          </cell>
          <cell r="AC38">
            <v>0</v>
          </cell>
          <cell r="AD38">
            <v>0</v>
          </cell>
        </row>
        <row r="39">
          <cell r="B39" t="str">
            <v>FY13-CIO Cash</v>
          </cell>
          <cell r="C39" t="str">
            <v>CIO Cash</v>
          </cell>
          <cell r="D39">
            <v>0</v>
          </cell>
          <cell r="E39">
            <v>0</v>
          </cell>
          <cell r="F39">
            <v>0</v>
          </cell>
          <cell r="G39">
            <v>0</v>
          </cell>
          <cell r="H39">
            <v>0</v>
          </cell>
          <cell r="I39">
            <v>0</v>
          </cell>
          <cell r="J39">
            <v>0</v>
          </cell>
          <cell r="K39">
            <v>0</v>
          </cell>
          <cell r="L39">
            <v>0</v>
          </cell>
          <cell r="M39">
            <v>0</v>
          </cell>
          <cell r="N39">
            <v>0</v>
          </cell>
          <cell r="O39">
            <v>0</v>
          </cell>
          <cell r="P39">
            <v>0</v>
          </cell>
          <cell r="R39" t="str">
            <v>FY13-CIO Cash</v>
          </cell>
          <cell r="S39">
            <v>0</v>
          </cell>
          <cell r="T39">
            <v>0</v>
          </cell>
          <cell r="U39">
            <v>0</v>
          </cell>
          <cell r="V39">
            <v>0</v>
          </cell>
          <cell r="W39">
            <v>0</v>
          </cell>
          <cell r="X39">
            <v>0</v>
          </cell>
          <cell r="Y39">
            <v>0</v>
          </cell>
          <cell r="Z39">
            <v>0</v>
          </cell>
          <cell r="AA39">
            <v>0</v>
          </cell>
          <cell r="AB39">
            <v>0</v>
          </cell>
          <cell r="AC39">
            <v>0</v>
          </cell>
          <cell r="AD39">
            <v>0</v>
          </cell>
        </row>
        <row r="40">
          <cell r="B40" t="str">
            <v>FY13-Other Cash</v>
          </cell>
          <cell r="C40" t="str">
            <v>Other Cash</v>
          </cell>
          <cell r="D40">
            <v>0</v>
          </cell>
          <cell r="E40">
            <v>0</v>
          </cell>
          <cell r="F40">
            <v>0</v>
          </cell>
          <cell r="G40">
            <v>0</v>
          </cell>
          <cell r="H40">
            <v>0</v>
          </cell>
          <cell r="I40">
            <v>0</v>
          </cell>
          <cell r="J40">
            <v>0</v>
          </cell>
          <cell r="K40">
            <v>0</v>
          </cell>
          <cell r="L40">
            <v>0</v>
          </cell>
          <cell r="M40">
            <v>0</v>
          </cell>
          <cell r="N40">
            <v>0</v>
          </cell>
          <cell r="O40">
            <v>0</v>
          </cell>
          <cell r="P40">
            <v>0</v>
          </cell>
          <cell r="R40" t="str">
            <v>FY13-Other Cash</v>
          </cell>
          <cell r="S40">
            <v>0</v>
          </cell>
          <cell r="T40">
            <v>0</v>
          </cell>
          <cell r="U40">
            <v>0</v>
          </cell>
          <cell r="V40">
            <v>0</v>
          </cell>
          <cell r="W40">
            <v>0</v>
          </cell>
          <cell r="X40">
            <v>0</v>
          </cell>
          <cell r="Y40">
            <v>0</v>
          </cell>
          <cell r="Z40">
            <v>0</v>
          </cell>
          <cell r="AA40">
            <v>0</v>
          </cell>
          <cell r="AB40">
            <v>0</v>
          </cell>
          <cell r="AC40">
            <v>0</v>
          </cell>
          <cell r="AD40">
            <v>0</v>
          </cell>
        </row>
        <row r="41">
          <cell r="B41" t="str">
            <v>FY13-Donated Resources</v>
          </cell>
          <cell r="C41" t="str">
            <v>Donated Resources</v>
          </cell>
          <cell r="D41">
            <v>83333.333333333328</v>
          </cell>
          <cell r="E41">
            <v>83333.333333333328</v>
          </cell>
          <cell r="F41">
            <v>83333.333333333328</v>
          </cell>
          <cell r="G41">
            <v>83333.333333333328</v>
          </cell>
          <cell r="H41">
            <v>83333.333333333328</v>
          </cell>
          <cell r="I41">
            <v>83333.333333333328</v>
          </cell>
          <cell r="J41">
            <v>83333.333333333328</v>
          </cell>
          <cell r="K41">
            <v>83333.333333333328</v>
          </cell>
          <cell r="L41">
            <v>83333.333333333328</v>
          </cell>
          <cell r="M41">
            <v>83333.333333333328</v>
          </cell>
          <cell r="N41">
            <v>83333.333333333328</v>
          </cell>
          <cell r="O41">
            <v>83333.333333333328</v>
          </cell>
          <cell r="P41">
            <v>1000000.0000000001</v>
          </cell>
          <cell r="R41" t="str">
            <v>FY13-Donated Resources</v>
          </cell>
          <cell r="S41">
            <v>83333.333333333328</v>
          </cell>
          <cell r="T41">
            <v>166666.66666666666</v>
          </cell>
          <cell r="U41">
            <v>250000</v>
          </cell>
          <cell r="V41">
            <v>333333.33333333331</v>
          </cell>
          <cell r="W41">
            <v>416666.66666666663</v>
          </cell>
          <cell r="X41">
            <v>499999.99999999994</v>
          </cell>
          <cell r="Y41">
            <v>583333.33333333326</v>
          </cell>
          <cell r="Z41">
            <v>666666.66666666663</v>
          </cell>
          <cell r="AA41">
            <v>750000</v>
          </cell>
          <cell r="AB41">
            <v>833333.33333333337</v>
          </cell>
          <cell r="AC41">
            <v>916666.66666666674</v>
          </cell>
          <cell r="AD41">
            <v>1000000.0000000001</v>
          </cell>
        </row>
        <row r="42">
          <cell r="B42" t="str">
            <v>FY13-Other non-Cash</v>
          </cell>
          <cell r="C42" t="str">
            <v>Other non-Cash</v>
          </cell>
          <cell r="D42">
            <v>0</v>
          </cell>
          <cell r="E42">
            <v>0</v>
          </cell>
          <cell r="F42">
            <v>0</v>
          </cell>
          <cell r="G42">
            <v>0</v>
          </cell>
          <cell r="H42">
            <v>0</v>
          </cell>
          <cell r="I42">
            <v>0</v>
          </cell>
          <cell r="J42">
            <v>0</v>
          </cell>
          <cell r="K42">
            <v>0</v>
          </cell>
          <cell r="L42">
            <v>0</v>
          </cell>
          <cell r="M42">
            <v>0</v>
          </cell>
          <cell r="N42">
            <v>0</v>
          </cell>
          <cell r="O42">
            <v>0</v>
          </cell>
          <cell r="P42">
            <v>0</v>
          </cell>
          <cell r="R42" t="str">
            <v>FY13-Other non-Cash</v>
          </cell>
          <cell r="S42">
            <v>0</v>
          </cell>
          <cell r="T42">
            <v>0</v>
          </cell>
          <cell r="U42">
            <v>0</v>
          </cell>
          <cell r="V42">
            <v>0</v>
          </cell>
          <cell r="W42">
            <v>0</v>
          </cell>
          <cell r="X42">
            <v>0</v>
          </cell>
          <cell r="Y42">
            <v>0</v>
          </cell>
          <cell r="Z42">
            <v>0</v>
          </cell>
          <cell r="AA42">
            <v>0</v>
          </cell>
          <cell r="AB42">
            <v>0</v>
          </cell>
          <cell r="AC42">
            <v>0</v>
          </cell>
          <cell r="AD42">
            <v>0</v>
          </cell>
        </row>
        <row r="43">
          <cell r="B43" t="str">
            <v>FY13-Total Cash-Based</v>
          </cell>
          <cell r="C43" t="str">
            <v>Total Cash-Based</v>
          </cell>
          <cell r="D43">
            <v>0</v>
          </cell>
          <cell r="E43">
            <v>0</v>
          </cell>
          <cell r="F43">
            <v>0</v>
          </cell>
          <cell r="G43">
            <v>0</v>
          </cell>
          <cell r="H43">
            <v>0</v>
          </cell>
          <cell r="I43">
            <v>0</v>
          </cell>
          <cell r="J43">
            <v>0</v>
          </cell>
          <cell r="K43">
            <v>0</v>
          </cell>
          <cell r="L43">
            <v>0</v>
          </cell>
          <cell r="M43">
            <v>0</v>
          </cell>
          <cell r="N43">
            <v>0</v>
          </cell>
          <cell r="O43">
            <v>10000000</v>
          </cell>
          <cell r="P43">
            <v>10000000</v>
          </cell>
          <cell r="R43" t="str">
            <v>FY13-Total Cash-Based</v>
          </cell>
          <cell r="S43">
            <v>0</v>
          </cell>
          <cell r="T43">
            <v>0</v>
          </cell>
          <cell r="U43">
            <v>0</v>
          </cell>
          <cell r="V43">
            <v>0</v>
          </cell>
          <cell r="W43">
            <v>0</v>
          </cell>
          <cell r="X43">
            <v>0</v>
          </cell>
          <cell r="Y43">
            <v>0</v>
          </cell>
          <cell r="Z43">
            <v>0</v>
          </cell>
          <cell r="AA43">
            <v>0</v>
          </cell>
          <cell r="AB43">
            <v>0</v>
          </cell>
          <cell r="AC43">
            <v>0</v>
          </cell>
          <cell r="AD43">
            <v>10000000</v>
          </cell>
        </row>
        <row r="44">
          <cell r="B44" t="str">
            <v>FY13-Total non-Cash Based</v>
          </cell>
          <cell r="C44" t="str">
            <v>Total non-Cash Based</v>
          </cell>
          <cell r="D44">
            <v>83333.333333333328</v>
          </cell>
          <cell r="E44">
            <v>83333.333333333328</v>
          </cell>
          <cell r="F44">
            <v>83333.333333333328</v>
          </cell>
          <cell r="G44">
            <v>83333.333333333328</v>
          </cell>
          <cell r="H44">
            <v>83333.333333333328</v>
          </cell>
          <cell r="I44">
            <v>83333.333333333328</v>
          </cell>
          <cell r="J44">
            <v>83333.333333333328</v>
          </cell>
          <cell r="K44">
            <v>83333.333333333328</v>
          </cell>
          <cell r="L44">
            <v>83333.333333333328</v>
          </cell>
          <cell r="M44">
            <v>83333.333333333328</v>
          </cell>
          <cell r="N44">
            <v>83333.333333333328</v>
          </cell>
          <cell r="O44">
            <v>83333.333333333328</v>
          </cell>
          <cell r="P44">
            <v>1000000.0000000001</v>
          </cell>
          <cell r="R44" t="str">
            <v>FY13-Total non-Cash Based</v>
          </cell>
          <cell r="S44">
            <v>83333.333333333328</v>
          </cell>
          <cell r="T44">
            <v>166666.66666666666</v>
          </cell>
          <cell r="U44">
            <v>250000</v>
          </cell>
          <cell r="V44">
            <v>333333.33333333331</v>
          </cell>
          <cell r="W44">
            <v>416666.66666666663</v>
          </cell>
          <cell r="X44">
            <v>499999.99999999994</v>
          </cell>
          <cell r="Y44">
            <v>583333.33333333326</v>
          </cell>
          <cell r="Z44">
            <v>666666.66666666663</v>
          </cell>
          <cell r="AA44">
            <v>750000</v>
          </cell>
          <cell r="AB44">
            <v>833333.33333333337</v>
          </cell>
          <cell r="AC44">
            <v>916666.66666666674</v>
          </cell>
          <cell r="AD44">
            <v>1000000.0000000001</v>
          </cell>
        </row>
        <row r="45">
          <cell r="B45" t="str">
            <v>FY13-Grand total</v>
          </cell>
          <cell r="C45" t="str">
            <v>Grand total</v>
          </cell>
          <cell r="D45">
            <v>83333.333333333328</v>
          </cell>
          <cell r="E45">
            <v>83333.333333333328</v>
          </cell>
          <cell r="F45">
            <v>83333.333333333328</v>
          </cell>
          <cell r="G45">
            <v>83333.333333333328</v>
          </cell>
          <cell r="H45">
            <v>83333.333333333328</v>
          </cell>
          <cell r="I45">
            <v>83333.333333333328</v>
          </cell>
          <cell r="J45">
            <v>83333.333333333328</v>
          </cell>
          <cell r="K45">
            <v>83333.333333333328</v>
          </cell>
          <cell r="L45">
            <v>83333.333333333328</v>
          </cell>
          <cell r="M45">
            <v>83333.333333333328</v>
          </cell>
          <cell r="N45">
            <v>83333.333333333328</v>
          </cell>
          <cell r="O45">
            <v>10083333.333333334</v>
          </cell>
          <cell r="P45">
            <v>11000000</v>
          </cell>
          <cell r="R45" t="str">
            <v>FY13-Grand total</v>
          </cell>
          <cell r="S45">
            <v>83333.333333333328</v>
          </cell>
          <cell r="T45">
            <v>166666.66666666666</v>
          </cell>
          <cell r="U45">
            <v>250000</v>
          </cell>
          <cell r="V45">
            <v>333333.33333333331</v>
          </cell>
          <cell r="W45">
            <v>416666.66666666663</v>
          </cell>
          <cell r="X45">
            <v>499999.99999999994</v>
          </cell>
          <cell r="Y45">
            <v>583333.33333333326</v>
          </cell>
          <cell r="Z45">
            <v>666666.66666666663</v>
          </cell>
          <cell r="AA45">
            <v>750000</v>
          </cell>
          <cell r="AB45">
            <v>833333.33333333337</v>
          </cell>
          <cell r="AC45">
            <v>916666.66666666674</v>
          </cell>
          <cell r="AD45">
            <v>11000000</v>
          </cell>
        </row>
        <row r="46">
          <cell r="B46" t="str">
            <v>FY14-Univ PBA</v>
          </cell>
          <cell r="C46" t="str">
            <v>Univ PBA</v>
          </cell>
          <cell r="D46">
            <v>0</v>
          </cell>
          <cell r="E46">
            <v>0</v>
          </cell>
          <cell r="F46">
            <v>0</v>
          </cell>
          <cell r="G46">
            <v>0</v>
          </cell>
          <cell r="H46">
            <v>0</v>
          </cell>
          <cell r="I46">
            <v>0</v>
          </cell>
          <cell r="J46">
            <v>0</v>
          </cell>
          <cell r="K46">
            <v>0</v>
          </cell>
          <cell r="L46">
            <v>0</v>
          </cell>
          <cell r="M46">
            <v>0</v>
          </cell>
          <cell r="N46">
            <v>0</v>
          </cell>
          <cell r="O46">
            <v>0</v>
          </cell>
          <cell r="P46">
            <v>0</v>
          </cell>
          <cell r="R46" t="str">
            <v>FY14-Univ PBA</v>
          </cell>
          <cell r="S46">
            <v>0</v>
          </cell>
          <cell r="T46">
            <v>0</v>
          </cell>
          <cell r="U46">
            <v>0</v>
          </cell>
          <cell r="V46">
            <v>0</v>
          </cell>
          <cell r="W46">
            <v>0</v>
          </cell>
          <cell r="X46">
            <v>0</v>
          </cell>
          <cell r="Y46">
            <v>0</v>
          </cell>
          <cell r="Z46">
            <v>0</v>
          </cell>
          <cell r="AA46">
            <v>0</v>
          </cell>
          <cell r="AB46">
            <v>0</v>
          </cell>
          <cell r="AC46">
            <v>0</v>
          </cell>
          <cell r="AD46">
            <v>0</v>
          </cell>
        </row>
        <row r="47">
          <cell r="B47" t="str">
            <v>FY14-Univ Cash</v>
          </cell>
          <cell r="C47" t="str">
            <v>Univ Cash</v>
          </cell>
          <cell r="D47">
            <v>0</v>
          </cell>
          <cell r="E47">
            <v>0</v>
          </cell>
          <cell r="F47">
            <v>0</v>
          </cell>
          <cell r="G47">
            <v>0</v>
          </cell>
          <cell r="H47">
            <v>0</v>
          </cell>
          <cell r="I47">
            <v>0</v>
          </cell>
          <cell r="J47">
            <v>0</v>
          </cell>
          <cell r="K47">
            <v>0</v>
          </cell>
          <cell r="L47">
            <v>0</v>
          </cell>
          <cell r="M47">
            <v>0</v>
          </cell>
          <cell r="N47">
            <v>0</v>
          </cell>
          <cell r="O47">
            <v>8500000</v>
          </cell>
          <cell r="P47">
            <v>8500000</v>
          </cell>
          <cell r="R47" t="str">
            <v>FY14-Univ Cash</v>
          </cell>
          <cell r="S47">
            <v>0</v>
          </cell>
          <cell r="T47">
            <v>0</v>
          </cell>
          <cell r="U47">
            <v>0</v>
          </cell>
          <cell r="V47">
            <v>0</v>
          </cell>
          <cell r="W47">
            <v>0</v>
          </cell>
          <cell r="X47">
            <v>0</v>
          </cell>
          <cell r="Y47">
            <v>0</v>
          </cell>
          <cell r="Z47">
            <v>0</v>
          </cell>
          <cell r="AA47">
            <v>0</v>
          </cell>
          <cell r="AB47">
            <v>0</v>
          </cell>
          <cell r="AC47">
            <v>0</v>
          </cell>
          <cell r="AD47">
            <v>8500000</v>
          </cell>
        </row>
        <row r="48">
          <cell r="B48" t="str">
            <v>FY14-CIO PBA</v>
          </cell>
          <cell r="C48" t="str">
            <v>CIO PBA</v>
          </cell>
          <cell r="D48">
            <v>0</v>
          </cell>
          <cell r="E48">
            <v>0</v>
          </cell>
          <cell r="F48">
            <v>0</v>
          </cell>
          <cell r="G48">
            <v>0</v>
          </cell>
          <cell r="H48">
            <v>0</v>
          </cell>
          <cell r="I48">
            <v>0</v>
          </cell>
          <cell r="J48">
            <v>0</v>
          </cell>
          <cell r="K48">
            <v>0</v>
          </cell>
          <cell r="L48">
            <v>0</v>
          </cell>
          <cell r="M48">
            <v>0</v>
          </cell>
          <cell r="N48">
            <v>0</v>
          </cell>
          <cell r="O48">
            <v>0</v>
          </cell>
          <cell r="P48">
            <v>0</v>
          </cell>
          <cell r="R48" t="str">
            <v>FY14-CIO PBA</v>
          </cell>
          <cell r="S48">
            <v>0</v>
          </cell>
          <cell r="T48">
            <v>0</v>
          </cell>
          <cell r="U48">
            <v>0</v>
          </cell>
          <cell r="V48">
            <v>0</v>
          </cell>
          <cell r="W48">
            <v>0</v>
          </cell>
          <cell r="X48">
            <v>0</v>
          </cell>
          <cell r="Y48">
            <v>0</v>
          </cell>
          <cell r="Z48">
            <v>0</v>
          </cell>
          <cell r="AA48">
            <v>0</v>
          </cell>
          <cell r="AB48">
            <v>0</v>
          </cell>
          <cell r="AC48">
            <v>0</v>
          </cell>
          <cell r="AD48">
            <v>0</v>
          </cell>
        </row>
        <row r="49">
          <cell r="B49" t="str">
            <v>FY14-CIO Cash</v>
          </cell>
          <cell r="C49" t="str">
            <v>CIO Cash</v>
          </cell>
          <cell r="D49">
            <v>0</v>
          </cell>
          <cell r="E49">
            <v>0</v>
          </cell>
          <cell r="F49">
            <v>0</v>
          </cell>
          <cell r="G49">
            <v>0</v>
          </cell>
          <cell r="H49">
            <v>0</v>
          </cell>
          <cell r="I49">
            <v>0</v>
          </cell>
          <cell r="J49">
            <v>0</v>
          </cell>
          <cell r="K49">
            <v>0</v>
          </cell>
          <cell r="L49">
            <v>0</v>
          </cell>
          <cell r="M49">
            <v>0</v>
          </cell>
          <cell r="N49">
            <v>0</v>
          </cell>
          <cell r="O49">
            <v>0</v>
          </cell>
          <cell r="P49">
            <v>0</v>
          </cell>
          <cell r="R49" t="str">
            <v>FY14-CIO Cash</v>
          </cell>
          <cell r="S49">
            <v>0</v>
          </cell>
          <cell r="T49">
            <v>0</v>
          </cell>
          <cell r="U49">
            <v>0</v>
          </cell>
          <cell r="V49">
            <v>0</v>
          </cell>
          <cell r="W49">
            <v>0</v>
          </cell>
          <cell r="X49">
            <v>0</v>
          </cell>
          <cell r="Y49">
            <v>0</v>
          </cell>
          <cell r="Z49">
            <v>0</v>
          </cell>
          <cell r="AA49">
            <v>0</v>
          </cell>
          <cell r="AB49">
            <v>0</v>
          </cell>
          <cell r="AC49">
            <v>0</v>
          </cell>
          <cell r="AD49">
            <v>0</v>
          </cell>
        </row>
        <row r="50">
          <cell r="B50" t="str">
            <v>FY14-Other Cash</v>
          </cell>
          <cell r="C50" t="str">
            <v>Other Cash</v>
          </cell>
          <cell r="D50">
            <v>0</v>
          </cell>
          <cell r="E50">
            <v>0</v>
          </cell>
          <cell r="F50">
            <v>0</v>
          </cell>
          <cell r="G50">
            <v>0</v>
          </cell>
          <cell r="H50">
            <v>0</v>
          </cell>
          <cell r="I50">
            <v>0</v>
          </cell>
          <cell r="J50">
            <v>0</v>
          </cell>
          <cell r="K50">
            <v>0</v>
          </cell>
          <cell r="L50">
            <v>0</v>
          </cell>
          <cell r="M50">
            <v>0</v>
          </cell>
          <cell r="N50">
            <v>0</v>
          </cell>
          <cell r="O50">
            <v>0</v>
          </cell>
          <cell r="P50">
            <v>0</v>
          </cell>
          <cell r="R50" t="str">
            <v>FY14-Other Cash</v>
          </cell>
          <cell r="S50">
            <v>0</v>
          </cell>
          <cell r="T50">
            <v>0</v>
          </cell>
          <cell r="U50">
            <v>0</v>
          </cell>
          <cell r="V50">
            <v>0</v>
          </cell>
          <cell r="W50">
            <v>0</v>
          </cell>
          <cell r="X50">
            <v>0</v>
          </cell>
          <cell r="Y50">
            <v>0</v>
          </cell>
          <cell r="Z50">
            <v>0</v>
          </cell>
          <cell r="AA50">
            <v>0</v>
          </cell>
          <cell r="AB50">
            <v>0</v>
          </cell>
          <cell r="AC50">
            <v>0</v>
          </cell>
          <cell r="AD50">
            <v>0</v>
          </cell>
        </row>
        <row r="51">
          <cell r="B51" t="str">
            <v>FY14-Donated Resources</v>
          </cell>
          <cell r="C51" t="str">
            <v>Donated Resources</v>
          </cell>
          <cell r="D51">
            <v>250000</v>
          </cell>
          <cell r="E51">
            <v>250000</v>
          </cell>
          <cell r="F51">
            <v>250000</v>
          </cell>
          <cell r="G51">
            <v>250000</v>
          </cell>
          <cell r="H51">
            <v>250000</v>
          </cell>
          <cell r="I51">
            <v>250000</v>
          </cell>
          <cell r="J51">
            <v>250000</v>
          </cell>
          <cell r="K51">
            <v>250000</v>
          </cell>
          <cell r="L51">
            <v>250000</v>
          </cell>
          <cell r="M51">
            <v>250000</v>
          </cell>
          <cell r="N51">
            <v>250000</v>
          </cell>
          <cell r="O51">
            <v>250000</v>
          </cell>
          <cell r="P51">
            <v>3000000</v>
          </cell>
          <cell r="R51" t="str">
            <v>FY14-Donated Resources</v>
          </cell>
          <cell r="S51">
            <v>250000</v>
          </cell>
          <cell r="T51">
            <v>500000</v>
          </cell>
          <cell r="U51">
            <v>750000</v>
          </cell>
          <cell r="V51">
            <v>1000000</v>
          </cell>
          <cell r="W51">
            <v>1250000</v>
          </cell>
          <cell r="X51">
            <v>1500000</v>
          </cell>
          <cell r="Y51">
            <v>1750000</v>
          </cell>
          <cell r="Z51">
            <v>2000000</v>
          </cell>
          <cell r="AA51">
            <v>2250000</v>
          </cell>
          <cell r="AB51">
            <v>2500000</v>
          </cell>
          <cell r="AC51">
            <v>2750000</v>
          </cell>
          <cell r="AD51">
            <v>3000000</v>
          </cell>
        </row>
        <row r="52">
          <cell r="B52" t="str">
            <v>FY14-Other non-Cash</v>
          </cell>
          <cell r="C52" t="str">
            <v>Other non-Cash</v>
          </cell>
          <cell r="D52">
            <v>0</v>
          </cell>
          <cell r="E52">
            <v>0</v>
          </cell>
          <cell r="F52">
            <v>0</v>
          </cell>
          <cell r="G52">
            <v>0</v>
          </cell>
          <cell r="H52">
            <v>0</v>
          </cell>
          <cell r="I52">
            <v>0</v>
          </cell>
          <cell r="J52">
            <v>0</v>
          </cell>
          <cell r="K52">
            <v>0</v>
          </cell>
          <cell r="L52">
            <v>0</v>
          </cell>
          <cell r="M52">
            <v>0</v>
          </cell>
          <cell r="N52">
            <v>0</v>
          </cell>
          <cell r="O52">
            <v>0</v>
          </cell>
          <cell r="P52">
            <v>0</v>
          </cell>
          <cell r="R52" t="str">
            <v>FY14-Other non-Cash</v>
          </cell>
          <cell r="S52">
            <v>0</v>
          </cell>
          <cell r="T52">
            <v>0</v>
          </cell>
          <cell r="U52">
            <v>0</v>
          </cell>
          <cell r="V52">
            <v>0</v>
          </cell>
          <cell r="W52">
            <v>0</v>
          </cell>
          <cell r="X52">
            <v>0</v>
          </cell>
          <cell r="Y52">
            <v>0</v>
          </cell>
          <cell r="Z52">
            <v>0</v>
          </cell>
          <cell r="AA52">
            <v>0</v>
          </cell>
          <cell r="AB52">
            <v>0</v>
          </cell>
          <cell r="AC52">
            <v>0</v>
          </cell>
          <cell r="AD52">
            <v>0</v>
          </cell>
        </row>
        <row r="53">
          <cell r="B53" t="str">
            <v>FY14-Total Cash-Based</v>
          </cell>
          <cell r="C53" t="str">
            <v>Total Cash-Based</v>
          </cell>
          <cell r="D53">
            <v>0</v>
          </cell>
          <cell r="E53">
            <v>0</v>
          </cell>
          <cell r="F53">
            <v>0</v>
          </cell>
          <cell r="G53">
            <v>0</v>
          </cell>
          <cell r="H53">
            <v>0</v>
          </cell>
          <cell r="I53">
            <v>0</v>
          </cell>
          <cell r="J53">
            <v>0</v>
          </cell>
          <cell r="K53">
            <v>0</v>
          </cell>
          <cell r="L53">
            <v>0</v>
          </cell>
          <cell r="M53">
            <v>0</v>
          </cell>
          <cell r="N53">
            <v>0</v>
          </cell>
          <cell r="O53">
            <v>8500000</v>
          </cell>
          <cell r="P53">
            <v>8500000</v>
          </cell>
          <cell r="R53" t="str">
            <v>FY14-Total Cash-Based</v>
          </cell>
          <cell r="S53">
            <v>0</v>
          </cell>
          <cell r="T53">
            <v>0</v>
          </cell>
          <cell r="U53">
            <v>0</v>
          </cell>
          <cell r="V53">
            <v>0</v>
          </cell>
          <cell r="W53">
            <v>0</v>
          </cell>
          <cell r="X53">
            <v>0</v>
          </cell>
          <cell r="Y53">
            <v>0</v>
          </cell>
          <cell r="Z53">
            <v>0</v>
          </cell>
          <cell r="AA53">
            <v>0</v>
          </cell>
          <cell r="AB53">
            <v>0</v>
          </cell>
          <cell r="AC53">
            <v>0</v>
          </cell>
          <cell r="AD53">
            <v>8500000</v>
          </cell>
        </row>
        <row r="54">
          <cell r="B54" t="str">
            <v>FY14-Total non-Cash Based</v>
          </cell>
          <cell r="C54" t="str">
            <v>Total non-Cash Based</v>
          </cell>
          <cell r="D54">
            <v>250000</v>
          </cell>
          <cell r="E54">
            <v>250000</v>
          </cell>
          <cell r="F54">
            <v>250000</v>
          </cell>
          <cell r="G54">
            <v>250000</v>
          </cell>
          <cell r="H54">
            <v>250000</v>
          </cell>
          <cell r="I54">
            <v>250000</v>
          </cell>
          <cell r="J54">
            <v>250000</v>
          </cell>
          <cell r="K54">
            <v>250000</v>
          </cell>
          <cell r="L54">
            <v>250000</v>
          </cell>
          <cell r="M54">
            <v>250000</v>
          </cell>
          <cell r="N54">
            <v>250000</v>
          </cell>
          <cell r="O54">
            <v>250000</v>
          </cell>
          <cell r="P54">
            <v>3000000</v>
          </cell>
          <cell r="R54" t="str">
            <v>FY14-Total non-Cash Based</v>
          </cell>
          <cell r="S54">
            <v>250000</v>
          </cell>
          <cell r="T54">
            <v>500000</v>
          </cell>
          <cell r="U54">
            <v>750000</v>
          </cell>
          <cell r="V54">
            <v>1000000</v>
          </cell>
          <cell r="W54">
            <v>1250000</v>
          </cell>
          <cell r="X54">
            <v>1500000</v>
          </cell>
          <cell r="Y54">
            <v>1750000</v>
          </cell>
          <cell r="Z54">
            <v>2000000</v>
          </cell>
          <cell r="AA54">
            <v>2250000</v>
          </cell>
          <cell r="AB54">
            <v>2500000</v>
          </cell>
          <cell r="AC54">
            <v>2750000</v>
          </cell>
          <cell r="AD54">
            <v>3000000</v>
          </cell>
        </row>
        <row r="55">
          <cell r="B55" t="str">
            <v>FY14-Grand total</v>
          </cell>
          <cell r="C55" t="str">
            <v>Grand total</v>
          </cell>
          <cell r="D55">
            <v>250000</v>
          </cell>
          <cell r="E55">
            <v>250000</v>
          </cell>
          <cell r="F55">
            <v>250000</v>
          </cell>
          <cell r="G55">
            <v>250000</v>
          </cell>
          <cell r="H55">
            <v>250000</v>
          </cell>
          <cell r="I55">
            <v>250000</v>
          </cell>
          <cell r="J55">
            <v>250000</v>
          </cell>
          <cell r="K55">
            <v>250000</v>
          </cell>
          <cell r="L55">
            <v>250000</v>
          </cell>
          <cell r="M55">
            <v>250000</v>
          </cell>
          <cell r="N55">
            <v>250000</v>
          </cell>
          <cell r="O55">
            <v>8750000</v>
          </cell>
          <cell r="P55">
            <v>11500000</v>
          </cell>
          <cell r="R55" t="str">
            <v>FY14-Grand total</v>
          </cell>
          <cell r="S55">
            <v>250000</v>
          </cell>
          <cell r="T55">
            <v>500000</v>
          </cell>
          <cell r="U55">
            <v>750000</v>
          </cell>
          <cell r="V55">
            <v>1000000</v>
          </cell>
          <cell r="W55">
            <v>1250000</v>
          </cell>
          <cell r="X55">
            <v>1500000</v>
          </cell>
          <cell r="Y55">
            <v>1750000</v>
          </cell>
          <cell r="Z55">
            <v>2000000</v>
          </cell>
          <cell r="AA55">
            <v>2250000</v>
          </cell>
          <cell r="AB55">
            <v>2500000</v>
          </cell>
          <cell r="AC55">
            <v>2750000</v>
          </cell>
          <cell r="AD55">
            <v>11500000</v>
          </cell>
        </row>
        <row r="56">
          <cell r="B56" t="str">
            <v>FY15-Univ PBA</v>
          </cell>
          <cell r="C56" t="str">
            <v>Univ PBA</v>
          </cell>
          <cell r="D56">
            <v>0</v>
          </cell>
          <cell r="E56">
            <v>0</v>
          </cell>
          <cell r="F56">
            <v>0</v>
          </cell>
          <cell r="G56">
            <v>0</v>
          </cell>
          <cell r="H56">
            <v>0</v>
          </cell>
          <cell r="I56">
            <v>0</v>
          </cell>
          <cell r="J56">
            <v>0</v>
          </cell>
          <cell r="K56">
            <v>0</v>
          </cell>
          <cell r="L56">
            <v>0</v>
          </cell>
          <cell r="M56">
            <v>0</v>
          </cell>
          <cell r="N56">
            <v>0</v>
          </cell>
          <cell r="O56">
            <v>0</v>
          </cell>
          <cell r="P56">
            <v>0</v>
          </cell>
          <cell r="R56" t="str">
            <v>FY15-Univ PBA</v>
          </cell>
          <cell r="S56">
            <v>0</v>
          </cell>
          <cell r="T56">
            <v>0</v>
          </cell>
          <cell r="U56">
            <v>0</v>
          </cell>
          <cell r="V56">
            <v>0</v>
          </cell>
          <cell r="W56">
            <v>0</v>
          </cell>
          <cell r="X56">
            <v>0</v>
          </cell>
          <cell r="Y56">
            <v>0</v>
          </cell>
          <cell r="Z56">
            <v>0</v>
          </cell>
          <cell r="AA56">
            <v>0</v>
          </cell>
          <cell r="AB56">
            <v>0</v>
          </cell>
          <cell r="AC56">
            <v>0</v>
          </cell>
          <cell r="AD56">
            <v>0</v>
          </cell>
        </row>
        <row r="57">
          <cell r="B57" t="str">
            <v>FY15-Univ Cash</v>
          </cell>
          <cell r="C57" t="str">
            <v>Univ Cash</v>
          </cell>
          <cell r="D57">
            <v>0</v>
          </cell>
          <cell r="E57">
            <v>0</v>
          </cell>
          <cell r="F57">
            <v>0</v>
          </cell>
          <cell r="G57">
            <v>0</v>
          </cell>
          <cell r="H57">
            <v>0</v>
          </cell>
          <cell r="I57">
            <v>0</v>
          </cell>
          <cell r="J57">
            <v>0</v>
          </cell>
          <cell r="K57">
            <v>0</v>
          </cell>
          <cell r="L57">
            <v>0</v>
          </cell>
          <cell r="M57">
            <v>0</v>
          </cell>
          <cell r="N57">
            <v>0</v>
          </cell>
          <cell r="O57">
            <v>0</v>
          </cell>
          <cell r="P57">
            <v>0</v>
          </cell>
          <cell r="R57" t="str">
            <v>FY15-Univ Cash</v>
          </cell>
          <cell r="S57">
            <v>0</v>
          </cell>
          <cell r="T57">
            <v>0</v>
          </cell>
          <cell r="U57">
            <v>0</v>
          </cell>
          <cell r="V57">
            <v>0</v>
          </cell>
          <cell r="W57">
            <v>0</v>
          </cell>
          <cell r="X57">
            <v>0</v>
          </cell>
          <cell r="Y57">
            <v>0</v>
          </cell>
          <cell r="Z57">
            <v>0</v>
          </cell>
          <cell r="AA57">
            <v>0</v>
          </cell>
          <cell r="AB57">
            <v>0</v>
          </cell>
          <cell r="AC57">
            <v>0</v>
          </cell>
          <cell r="AD57">
            <v>0</v>
          </cell>
        </row>
        <row r="58">
          <cell r="B58" t="str">
            <v>FY15-CIO PBA</v>
          </cell>
          <cell r="C58" t="str">
            <v>CIO PBA</v>
          </cell>
          <cell r="D58">
            <v>0</v>
          </cell>
          <cell r="E58">
            <v>0</v>
          </cell>
          <cell r="F58">
            <v>0</v>
          </cell>
          <cell r="G58">
            <v>0</v>
          </cell>
          <cell r="H58">
            <v>0</v>
          </cell>
          <cell r="I58">
            <v>0</v>
          </cell>
          <cell r="J58">
            <v>0</v>
          </cell>
          <cell r="K58">
            <v>0</v>
          </cell>
          <cell r="L58">
            <v>0</v>
          </cell>
          <cell r="M58">
            <v>0</v>
          </cell>
          <cell r="N58">
            <v>0</v>
          </cell>
          <cell r="O58">
            <v>0</v>
          </cell>
          <cell r="P58">
            <v>0</v>
          </cell>
          <cell r="R58" t="str">
            <v>FY15-CIO PBA</v>
          </cell>
          <cell r="S58">
            <v>0</v>
          </cell>
          <cell r="T58">
            <v>0</v>
          </cell>
          <cell r="U58">
            <v>0</v>
          </cell>
          <cell r="V58">
            <v>0</v>
          </cell>
          <cell r="W58">
            <v>0</v>
          </cell>
          <cell r="X58">
            <v>0</v>
          </cell>
          <cell r="Y58">
            <v>0</v>
          </cell>
          <cell r="Z58">
            <v>0</v>
          </cell>
          <cell r="AA58">
            <v>0</v>
          </cell>
          <cell r="AB58">
            <v>0</v>
          </cell>
          <cell r="AC58">
            <v>0</v>
          </cell>
          <cell r="AD58">
            <v>0</v>
          </cell>
        </row>
        <row r="59">
          <cell r="B59" t="str">
            <v>FY15-CIO Cash</v>
          </cell>
          <cell r="C59" t="str">
            <v>CIO Cash</v>
          </cell>
          <cell r="D59">
            <v>0</v>
          </cell>
          <cell r="E59">
            <v>0</v>
          </cell>
          <cell r="F59">
            <v>0</v>
          </cell>
          <cell r="G59">
            <v>0</v>
          </cell>
          <cell r="H59">
            <v>0</v>
          </cell>
          <cell r="I59">
            <v>0</v>
          </cell>
          <cell r="J59">
            <v>0</v>
          </cell>
          <cell r="K59">
            <v>0</v>
          </cell>
          <cell r="L59">
            <v>0</v>
          </cell>
          <cell r="M59">
            <v>0</v>
          </cell>
          <cell r="N59">
            <v>0</v>
          </cell>
          <cell r="O59">
            <v>0</v>
          </cell>
          <cell r="P59">
            <v>0</v>
          </cell>
          <cell r="R59" t="str">
            <v>FY15-CIO Cash</v>
          </cell>
          <cell r="S59">
            <v>0</v>
          </cell>
          <cell r="T59">
            <v>0</v>
          </cell>
          <cell r="U59">
            <v>0</v>
          </cell>
          <cell r="V59">
            <v>0</v>
          </cell>
          <cell r="W59">
            <v>0</v>
          </cell>
          <cell r="X59">
            <v>0</v>
          </cell>
          <cell r="Y59">
            <v>0</v>
          </cell>
          <cell r="Z59">
            <v>0</v>
          </cell>
          <cell r="AA59">
            <v>0</v>
          </cell>
          <cell r="AB59">
            <v>0</v>
          </cell>
          <cell r="AC59">
            <v>0</v>
          </cell>
          <cell r="AD59">
            <v>0</v>
          </cell>
        </row>
        <row r="60">
          <cell r="B60" t="str">
            <v>FY15-Other Cash</v>
          </cell>
          <cell r="C60" t="str">
            <v>Other Cash</v>
          </cell>
          <cell r="D60">
            <v>0</v>
          </cell>
          <cell r="E60">
            <v>0</v>
          </cell>
          <cell r="F60">
            <v>0</v>
          </cell>
          <cell r="G60">
            <v>0</v>
          </cell>
          <cell r="H60">
            <v>0</v>
          </cell>
          <cell r="I60">
            <v>0</v>
          </cell>
          <cell r="J60">
            <v>0</v>
          </cell>
          <cell r="K60">
            <v>0</v>
          </cell>
          <cell r="L60">
            <v>0</v>
          </cell>
          <cell r="M60">
            <v>0</v>
          </cell>
          <cell r="N60">
            <v>0</v>
          </cell>
          <cell r="O60">
            <v>0</v>
          </cell>
          <cell r="P60">
            <v>0</v>
          </cell>
          <cell r="R60" t="str">
            <v>FY15-Other Cash</v>
          </cell>
          <cell r="S60">
            <v>0</v>
          </cell>
          <cell r="T60">
            <v>0</v>
          </cell>
          <cell r="U60">
            <v>0</v>
          </cell>
          <cell r="V60">
            <v>0</v>
          </cell>
          <cell r="W60">
            <v>0</v>
          </cell>
          <cell r="X60">
            <v>0</v>
          </cell>
          <cell r="Y60">
            <v>0</v>
          </cell>
          <cell r="Z60">
            <v>0</v>
          </cell>
          <cell r="AA60">
            <v>0</v>
          </cell>
          <cell r="AB60">
            <v>0</v>
          </cell>
          <cell r="AC60">
            <v>0</v>
          </cell>
          <cell r="AD60">
            <v>0</v>
          </cell>
        </row>
        <row r="61">
          <cell r="B61" t="str">
            <v>FY15-Donated Resources</v>
          </cell>
          <cell r="C61" t="str">
            <v>Donated Resources</v>
          </cell>
          <cell r="D61">
            <v>0</v>
          </cell>
          <cell r="E61">
            <v>0</v>
          </cell>
          <cell r="F61">
            <v>0</v>
          </cell>
          <cell r="G61">
            <v>0</v>
          </cell>
          <cell r="H61">
            <v>0</v>
          </cell>
          <cell r="I61">
            <v>0</v>
          </cell>
          <cell r="J61">
            <v>0</v>
          </cell>
          <cell r="K61">
            <v>0</v>
          </cell>
          <cell r="L61">
            <v>0</v>
          </cell>
          <cell r="M61">
            <v>0</v>
          </cell>
          <cell r="N61">
            <v>0</v>
          </cell>
          <cell r="O61">
            <v>0</v>
          </cell>
          <cell r="P61">
            <v>0</v>
          </cell>
          <cell r="R61" t="str">
            <v>FY15-Donated Resources</v>
          </cell>
          <cell r="S61">
            <v>0</v>
          </cell>
          <cell r="T61">
            <v>0</v>
          </cell>
          <cell r="U61">
            <v>0</v>
          </cell>
          <cell r="V61">
            <v>0</v>
          </cell>
          <cell r="W61">
            <v>0</v>
          </cell>
          <cell r="X61">
            <v>0</v>
          </cell>
          <cell r="Y61">
            <v>0</v>
          </cell>
          <cell r="Z61">
            <v>0</v>
          </cell>
          <cell r="AA61">
            <v>0</v>
          </cell>
          <cell r="AB61">
            <v>0</v>
          </cell>
          <cell r="AC61">
            <v>0</v>
          </cell>
          <cell r="AD61">
            <v>0</v>
          </cell>
        </row>
        <row r="62">
          <cell r="B62" t="str">
            <v>FY15-Other non-Cash</v>
          </cell>
          <cell r="C62" t="str">
            <v>Other non-Cash</v>
          </cell>
          <cell r="D62">
            <v>0</v>
          </cell>
          <cell r="E62">
            <v>0</v>
          </cell>
          <cell r="F62">
            <v>0</v>
          </cell>
          <cell r="G62">
            <v>0</v>
          </cell>
          <cell r="H62">
            <v>0</v>
          </cell>
          <cell r="I62">
            <v>0</v>
          </cell>
          <cell r="J62">
            <v>0</v>
          </cell>
          <cell r="K62">
            <v>0</v>
          </cell>
          <cell r="L62">
            <v>0</v>
          </cell>
          <cell r="M62">
            <v>0</v>
          </cell>
          <cell r="N62">
            <v>0</v>
          </cell>
          <cell r="O62">
            <v>0</v>
          </cell>
          <cell r="P62">
            <v>0</v>
          </cell>
          <cell r="R62" t="str">
            <v>FY15-Other non-Cash</v>
          </cell>
          <cell r="S62">
            <v>0</v>
          </cell>
          <cell r="T62">
            <v>0</v>
          </cell>
          <cell r="U62">
            <v>0</v>
          </cell>
          <cell r="V62">
            <v>0</v>
          </cell>
          <cell r="W62">
            <v>0</v>
          </cell>
          <cell r="X62">
            <v>0</v>
          </cell>
          <cell r="Y62">
            <v>0</v>
          </cell>
          <cell r="Z62">
            <v>0</v>
          </cell>
          <cell r="AA62">
            <v>0</v>
          </cell>
          <cell r="AB62">
            <v>0</v>
          </cell>
          <cell r="AC62">
            <v>0</v>
          </cell>
          <cell r="AD62">
            <v>0</v>
          </cell>
        </row>
        <row r="63">
          <cell r="B63" t="str">
            <v>FY15-Total Cash-Based</v>
          </cell>
          <cell r="C63" t="str">
            <v>Total Cash-Based</v>
          </cell>
          <cell r="D63">
            <v>0</v>
          </cell>
          <cell r="E63">
            <v>0</v>
          </cell>
          <cell r="F63">
            <v>0</v>
          </cell>
          <cell r="G63">
            <v>0</v>
          </cell>
          <cell r="H63">
            <v>0</v>
          </cell>
          <cell r="I63">
            <v>0</v>
          </cell>
          <cell r="J63">
            <v>0</v>
          </cell>
          <cell r="K63">
            <v>0</v>
          </cell>
          <cell r="L63">
            <v>0</v>
          </cell>
          <cell r="M63">
            <v>0</v>
          </cell>
          <cell r="N63">
            <v>0</v>
          </cell>
          <cell r="O63">
            <v>0</v>
          </cell>
          <cell r="P63">
            <v>0</v>
          </cell>
          <cell r="R63" t="str">
            <v>FY15-Total Cash-Based</v>
          </cell>
          <cell r="S63">
            <v>0</v>
          </cell>
          <cell r="T63">
            <v>0</v>
          </cell>
          <cell r="U63">
            <v>0</v>
          </cell>
          <cell r="V63">
            <v>0</v>
          </cell>
          <cell r="W63">
            <v>0</v>
          </cell>
          <cell r="X63">
            <v>0</v>
          </cell>
          <cell r="Y63">
            <v>0</v>
          </cell>
          <cell r="Z63">
            <v>0</v>
          </cell>
          <cell r="AA63">
            <v>0</v>
          </cell>
          <cell r="AB63">
            <v>0</v>
          </cell>
          <cell r="AC63">
            <v>0</v>
          </cell>
          <cell r="AD63">
            <v>0</v>
          </cell>
        </row>
        <row r="64">
          <cell r="B64" t="str">
            <v>FY15-Total non-Cash Based</v>
          </cell>
          <cell r="C64" t="str">
            <v>Total non-Cash Based</v>
          </cell>
          <cell r="D64">
            <v>0</v>
          </cell>
          <cell r="E64">
            <v>0</v>
          </cell>
          <cell r="F64">
            <v>0</v>
          </cell>
          <cell r="G64">
            <v>0</v>
          </cell>
          <cell r="H64">
            <v>0</v>
          </cell>
          <cell r="I64">
            <v>0</v>
          </cell>
          <cell r="J64">
            <v>0</v>
          </cell>
          <cell r="K64">
            <v>0</v>
          </cell>
          <cell r="L64">
            <v>0</v>
          </cell>
          <cell r="M64">
            <v>0</v>
          </cell>
          <cell r="N64">
            <v>0</v>
          </cell>
          <cell r="O64">
            <v>0</v>
          </cell>
          <cell r="P64">
            <v>0</v>
          </cell>
          <cell r="R64" t="str">
            <v>FY15-Total non-Cash Based</v>
          </cell>
          <cell r="S64">
            <v>0</v>
          </cell>
          <cell r="T64">
            <v>0</v>
          </cell>
          <cell r="U64">
            <v>0</v>
          </cell>
          <cell r="V64">
            <v>0</v>
          </cell>
          <cell r="W64">
            <v>0</v>
          </cell>
          <cell r="X64">
            <v>0</v>
          </cell>
          <cell r="Y64">
            <v>0</v>
          </cell>
          <cell r="Z64">
            <v>0</v>
          </cell>
          <cell r="AA64">
            <v>0</v>
          </cell>
          <cell r="AB64">
            <v>0</v>
          </cell>
          <cell r="AC64">
            <v>0</v>
          </cell>
          <cell r="AD64">
            <v>0</v>
          </cell>
        </row>
        <row r="65">
          <cell r="B65" t="str">
            <v>FY15-Grand total</v>
          </cell>
          <cell r="C65" t="str">
            <v>Grand total</v>
          </cell>
          <cell r="D65">
            <v>0</v>
          </cell>
          <cell r="E65">
            <v>0</v>
          </cell>
          <cell r="F65">
            <v>0</v>
          </cell>
          <cell r="G65">
            <v>0</v>
          </cell>
          <cell r="H65">
            <v>0</v>
          </cell>
          <cell r="I65">
            <v>0</v>
          </cell>
          <cell r="J65">
            <v>0</v>
          </cell>
          <cell r="K65">
            <v>0</v>
          </cell>
          <cell r="L65">
            <v>0</v>
          </cell>
          <cell r="M65">
            <v>0</v>
          </cell>
          <cell r="N65">
            <v>0</v>
          </cell>
          <cell r="O65">
            <v>0</v>
          </cell>
          <cell r="P65">
            <v>0</v>
          </cell>
          <cell r="R65" t="str">
            <v>FY15-Grand total</v>
          </cell>
          <cell r="S65">
            <v>0</v>
          </cell>
          <cell r="T65">
            <v>0</v>
          </cell>
          <cell r="U65">
            <v>0</v>
          </cell>
          <cell r="V65">
            <v>0</v>
          </cell>
          <cell r="W65">
            <v>0</v>
          </cell>
          <cell r="X65">
            <v>0</v>
          </cell>
          <cell r="Y65">
            <v>0</v>
          </cell>
          <cell r="Z65">
            <v>0</v>
          </cell>
          <cell r="AA65">
            <v>0</v>
          </cell>
          <cell r="AB65">
            <v>0</v>
          </cell>
          <cell r="AC65">
            <v>0</v>
          </cell>
          <cell r="AD65">
            <v>0</v>
          </cell>
        </row>
        <row r="67">
          <cell r="B67" t="str">
            <v>Total-Univ PBA</v>
          </cell>
          <cell r="C67" t="str">
            <v>Univ PBA</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Total-Univ Cash</v>
          </cell>
          <cell r="C68" t="str">
            <v>Univ Cash</v>
          </cell>
          <cell r="D68">
            <v>0</v>
          </cell>
          <cell r="E68">
            <v>0</v>
          </cell>
          <cell r="F68">
            <v>0</v>
          </cell>
          <cell r="G68">
            <v>0</v>
          </cell>
          <cell r="H68">
            <v>0</v>
          </cell>
          <cell r="I68">
            <v>0</v>
          </cell>
          <cell r="J68">
            <v>0</v>
          </cell>
          <cell r="K68">
            <v>0</v>
          </cell>
          <cell r="L68">
            <v>0</v>
          </cell>
          <cell r="M68">
            <v>0</v>
          </cell>
          <cell r="N68">
            <v>0</v>
          </cell>
          <cell r="O68">
            <v>18500000</v>
          </cell>
          <cell r="P68">
            <v>18500000</v>
          </cell>
        </row>
        <row r="69">
          <cell r="B69" t="str">
            <v>Total-CIO PBA</v>
          </cell>
          <cell r="C69" t="str">
            <v>CIO PBA</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Total-CIO Cash</v>
          </cell>
          <cell r="C70" t="str">
            <v>CIO Cash</v>
          </cell>
          <cell r="D70">
            <v>0</v>
          </cell>
          <cell r="E70">
            <v>0</v>
          </cell>
          <cell r="F70">
            <v>0</v>
          </cell>
          <cell r="G70">
            <v>0</v>
          </cell>
          <cell r="H70">
            <v>0</v>
          </cell>
          <cell r="I70">
            <v>0</v>
          </cell>
          <cell r="J70">
            <v>0</v>
          </cell>
          <cell r="K70">
            <v>0</v>
          </cell>
          <cell r="L70">
            <v>0</v>
          </cell>
          <cell r="M70">
            <v>0</v>
          </cell>
          <cell r="N70">
            <v>0</v>
          </cell>
          <cell r="O70">
            <v>0</v>
          </cell>
          <cell r="P70">
            <v>0</v>
          </cell>
        </row>
        <row r="71">
          <cell r="B71" t="str">
            <v>Total-Other Cash</v>
          </cell>
          <cell r="C71" t="str">
            <v>Other Cash</v>
          </cell>
          <cell r="D71">
            <v>0</v>
          </cell>
          <cell r="E71">
            <v>0</v>
          </cell>
          <cell r="F71">
            <v>0</v>
          </cell>
          <cell r="G71">
            <v>0</v>
          </cell>
          <cell r="H71">
            <v>0</v>
          </cell>
          <cell r="I71">
            <v>0</v>
          </cell>
          <cell r="J71">
            <v>0</v>
          </cell>
          <cell r="K71">
            <v>0</v>
          </cell>
          <cell r="L71">
            <v>0</v>
          </cell>
          <cell r="M71">
            <v>0</v>
          </cell>
          <cell r="N71">
            <v>0</v>
          </cell>
          <cell r="O71">
            <v>0</v>
          </cell>
          <cell r="P71">
            <v>0</v>
          </cell>
        </row>
        <row r="72">
          <cell r="B72" t="str">
            <v>Total-Donated Resources</v>
          </cell>
          <cell r="C72" t="str">
            <v>Donated Resources</v>
          </cell>
          <cell r="D72">
            <v>333333.33333333331</v>
          </cell>
          <cell r="E72">
            <v>333333.33333333331</v>
          </cell>
          <cell r="F72">
            <v>333333.33333333331</v>
          </cell>
          <cell r="G72">
            <v>333333.33333333331</v>
          </cell>
          <cell r="H72">
            <v>333333.33333333331</v>
          </cell>
          <cell r="I72">
            <v>333333.33333333331</v>
          </cell>
          <cell r="J72">
            <v>333333.33333333331</v>
          </cell>
          <cell r="K72">
            <v>333333.33333333331</v>
          </cell>
          <cell r="L72">
            <v>333333.33333333331</v>
          </cell>
          <cell r="M72">
            <v>333333.33333333331</v>
          </cell>
          <cell r="N72">
            <v>333333.33333333331</v>
          </cell>
          <cell r="O72">
            <v>333333.33333333331</v>
          </cell>
          <cell r="P72">
            <v>4000000.0000000005</v>
          </cell>
        </row>
        <row r="73">
          <cell r="B73" t="str">
            <v>Total-Other non-Cash</v>
          </cell>
          <cell r="C73" t="str">
            <v>Other non-Cash</v>
          </cell>
          <cell r="D73">
            <v>0</v>
          </cell>
          <cell r="E73">
            <v>0</v>
          </cell>
          <cell r="F73">
            <v>0</v>
          </cell>
          <cell r="G73">
            <v>0</v>
          </cell>
          <cell r="H73">
            <v>0</v>
          </cell>
          <cell r="I73">
            <v>0</v>
          </cell>
          <cell r="J73">
            <v>0</v>
          </cell>
          <cell r="K73">
            <v>0</v>
          </cell>
          <cell r="L73">
            <v>0</v>
          </cell>
          <cell r="M73">
            <v>0</v>
          </cell>
          <cell r="N73">
            <v>0</v>
          </cell>
          <cell r="O73">
            <v>0</v>
          </cell>
          <cell r="P73">
            <v>0</v>
          </cell>
        </row>
        <row r="74">
          <cell r="B74" t="str">
            <v>Total-Total Cash-Based</v>
          </cell>
          <cell r="C74" t="str">
            <v>Total Cash-Based</v>
          </cell>
          <cell r="D74">
            <v>0</v>
          </cell>
          <cell r="E74">
            <v>0</v>
          </cell>
          <cell r="F74">
            <v>0</v>
          </cell>
          <cell r="G74">
            <v>0</v>
          </cell>
          <cell r="H74">
            <v>0</v>
          </cell>
          <cell r="I74">
            <v>0</v>
          </cell>
          <cell r="J74">
            <v>0</v>
          </cell>
          <cell r="K74">
            <v>0</v>
          </cell>
          <cell r="L74">
            <v>0</v>
          </cell>
          <cell r="M74">
            <v>0</v>
          </cell>
          <cell r="N74">
            <v>0</v>
          </cell>
          <cell r="O74">
            <v>18500000</v>
          </cell>
          <cell r="P74">
            <v>18500000</v>
          </cell>
        </row>
        <row r="75">
          <cell r="B75" t="str">
            <v>Total-Total non-Cash Based</v>
          </cell>
          <cell r="C75" t="str">
            <v>Total non-Cash Based</v>
          </cell>
          <cell r="D75">
            <v>333333.33333333331</v>
          </cell>
          <cell r="E75">
            <v>333333.33333333331</v>
          </cell>
          <cell r="F75">
            <v>333333.33333333331</v>
          </cell>
          <cell r="G75">
            <v>333333.33333333331</v>
          </cell>
          <cell r="H75">
            <v>333333.33333333331</v>
          </cell>
          <cell r="I75">
            <v>333333.33333333331</v>
          </cell>
          <cell r="J75">
            <v>333333.33333333331</v>
          </cell>
          <cell r="K75">
            <v>333333.33333333331</v>
          </cell>
          <cell r="L75">
            <v>333333.33333333331</v>
          </cell>
          <cell r="M75">
            <v>333333.33333333331</v>
          </cell>
          <cell r="N75">
            <v>333333.33333333331</v>
          </cell>
          <cell r="O75">
            <v>333333.33333333331</v>
          </cell>
          <cell r="P75">
            <v>4000000.0000000005</v>
          </cell>
        </row>
        <row r="76">
          <cell r="B76" t="str">
            <v>Total-Grand total</v>
          </cell>
          <cell r="C76" t="str">
            <v>Grand total</v>
          </cell>
          <cell r="D76">
            <v>333333.33333333331</v>
          </cell>
          <cell r="E76">
            <v>333333.33333333331</v>
          </cell>
          <cell r="F76">
            <v>333333.33333333331</v>
          </cell>
          <cell r="G76">
            <v>333333.33333333331</v>
          </cell>
          <cell r="H76">
            <v>333333.33333333331</v>
          </cell>
          <cell r="I76">
            <v>333333.33333333331</v>
          </cell>
          <cell r="J76">
            <v>333333.33333333331</v>
          </cell>
          <cell r="K76">
            <v>333333.33333333331</v>
          </cell>
          <cell r="L76">
            <v>333333.33333333331</v>
          </cell>
          <cell r="M76">
            <v>333333.33333333331</v>
          </cell>
          <cell r="N76">
            <v>333333.33333333331</v>
          </cell>
          <cell r="O76">
            <v>18833333.333333332</v>
          </cell>
          <cell r="P76">
            <v>22500000</v>
          </cell>
        </row>
      </sheetData>
      <sheetData sheetId="13" refreshError="1">
        <row r="4">
          <cell r="B4" t="str">
            <v>FY13-Non-Labor Cost</v>
          </cell>
          <cell r="C4" t="str">
            <v>Non-Labor Cost</v>
          </cell>
          <cell r="D4">
            <v>0</v>
          </cell>
          <cell r="E4">
            <v>0</v>
          </cell>
          <cell r="F4">
            <v>50</v>
          </cell>
          <cell r="G4">
            <v>14363.930000000004</v>
          </cell>
          <cell r="H4">
            <v>20860.800000000003</v>
          </cell>
          <cell r="I4">
            <v>40154.26999999996</v>
          </cell>
          <cell r="J4">
            <v>146055.95999999996</v>
          </cell>
          <cell r="K4">
            <v>112818.06999999995</v>
          </cell>
          <cell r="L4">
            <v>44170.399999999965</v>
          </cell>
          <cell r="M4">
            <v>24057.719999999972</v>
          </cell>
          <cell r="N4">
            <v>475325.06</v>
          </cell>
          <cell r="O4">
            <v>233425.27999999997</v>
          </cell>
          <cell r="P4">
            <v>1111281.4899999998</v>
          </cell>
          <cell r="R4" t="str">
            <v>FY13-Non-Labor Cost</v>
          </cell>
          <cell r="S4">
            <v>0</v>
          </cell>
          <cell r="T4">
            <v>0</v>
          </cell>
          <cell r="U4">
            <v>50</v>
          </cell>
          <cell r="V4">
            <v>14413.930000000004</v>
          </cell>
          <cell r="W4">
            <v>35274.73000000001</v>
          </cell>
          <cell r="X4">
            <v>75428.999999999971</v>
          </cell>
          <cell r="Y4">
            <v>221484.95999999993</v>
          </cell>
          <cell r="Z4">
            <v>334303.02999999991</v>
          </cell>
          <cell r="AA4">
            <v>378473.42999999988</v>
          </cell>
          <cell r="AB4">
            <v>402531.14999999985</v>
          </cell>
          <cell r="AC4">
            <v>877856.20999999985</v>
          </cell>
          <cell r="AD4">
            <v>1111281.4899999998</v>
          </cell>
        </row>
        <row r="5">
          <cell r="B5" t="str">
            <v>FY13-Cash Labor Costs</v>
          </cell>
          <cell r="C5" t="str">
            <v>Cash Labor Costs</v>
          </cell>
          <cell r="D5">
            <v>0</v>
          </cell>
          <cell r="E5">
            <v>0</v>
          </cell>
          <cell r="F5">
            <v>25179.09</v>
          </cell>
          <cell r="G5">
            <v>30168.98</v>
          </cell>
          <cell r="H5">
            <v>111136.74</v>
          </cell>
          <cell r="I5">
            <v>330158.03999999998</v>
          </cell>
          <cell r="J5">
            <v>297241.13</v>
          </cell>
          <cell r="K5">
            <v>343974.23</v>
          </cell>
          <cell r="L5">
            <v>364520.13</v>
          </cell>
          <cell r="M5">
            <v>604860.36</v>
          </cell>
          <cell r="N5">
            <v>480336.2</v>
          </cell>
          <cell r="O5">
            <v>339539.56</v>
          </cell>
          <cell r="P5">
            <v>2927114.46</v>
          </cell>
          <cell r="R5" t="str">
            <v>FY13-Cash Labor Costs</v>
          </cell>
          <cell r="S5">
            <v>0</v>
          </cell>
          <cell r="T5">
            <v>0</v>
          </cell>
          <cell r="U5">
            <v>25179.09</v>
          </cell>
          <cell r="V5">
            <v>55348.07</v>
          </cell>
          <cell r="W5">
            <v>166484.81</v>
          </cell>
          <cell r="X5">
            <v>496642.85</v>
          </cell>
          <cell r="Y5">
            <v>793883.98</v>
          </cell>
          <cell r="Z5">
            <v>1137858.21</v>
          </cell>
          <cell r="AA5">
            <v>1502378.3399999999</v>
          </cell>
          <cell r="AB5">
            <v>2107238.6999999997</v>
          </cell>
          <cell r="AC5">
            <v>2587574.9</v>
          </cell>
          <cell r="AD5">
            <v>2927114.46</v>
          </cell>
        </row>
        <row r="6">
          <cell r="B6" t="str">
            <v>FY13-Non-Cash Labor Costs</v>
          </cell>
          <cell r="C6" t="str">
            <v>Non-Cash Labor Costs</v>
          </cell>
          <cell r="D6">
            <v>30280</v>
          </cell>
          <cell r="E6">
            <v>62118.400000000001</v>
          </cell>
          <cell r="F6">
            <v>77900</v>
          </cell>
          <cell r="G6">
            <v>117560</v>
          </cell>
          <cell r="H6">
            <v>58880</v>
          </cell>
          <cell r="I6">
            <v>60078.400000000001</v>
          </cell>
          <cell r="J6">
            <v>80980</v>
          </cell>
          <cell r="K6">
            <v>84080</v>
          </cell>
          <cell r="L6">
            <v>69020</v>
          </cell>
          <cell r="M6">
            <v>94268</v>
          </cell>
          <cell r="N6">
            <v>169508</v>
          </cell>
          <cell r="O6">
            <v>219496.8</v>
          </cell>
          <cell r="P6">
            <v>1124169.6000000001</v>
          </cell>
          <cell r="R6" t="str">
            <v>FY13-Non-Cash Labor Costs</v>
          </cell>
          <cell r="S6">
            <v>30280</v>
          </cell>
          <cell r="T6">
            <v>92398.399999999994</v>
          </cell>
          <cell r="U6">
            <v>170298.4</v>
          </cell>
          <cell r="V6">
            <v>287858.40000000002</v>
          </cell>
          <cell r="W6">
            <v>346738.4</v>
          </cell>
          <cell r="X6">
            <v>406816.80000000005</v>
          </cell>
          <cell r="Y6">
            <v>487796.80000000005</v>
          </cell>
          <cell r="Z6">
            <v>571876.80000000005</v>
          </cell>
          <cell r="AA6">
            <v>640896.80000000005</v>
          </cell>
          <cell r="AB6">
            <v>735164.8</v>
          </cell>
          <cell r="AC6">
            <v>904672.8</v>
          </cell>
          <cell r="AD6">
            <v>1124169.6000000001</v>
          </cell>
        </row>
        <row r="7">
          <cell r="B7" t="str">
            <v>FY13-Cash Labor Hours</v>
          </cell>
          <cell r="C7" t="str">
            <v>Cash Labor Hours</v>
          </cell>
          <cell r="D7">
            <v>1752.5</v>
          </cell>
          <cell r="E7">
            <v>2520</v>
          </cell>
          <cell r="F7">
            <v>2706.75</v>
          </cell>
          <cell r="G7">
            <v>3998.8</v>
          </cell>
          <cell r="H7">
            <v>3357.25</v>
          </cell>
          <cell r="I7">
            <v>3422.75</v>
          </cell>
          <cell r="J7">
            <v>3728.75</v>
          </cell>
          <cell r="K7">
            <v>3807.52</v>
          </cell>
          <cell r="L7">
            <v>4442.03</v>
          </cell>
          <cell r="M7">
            <v>5817.0999999999995</v>
          </cell>
          <cell r="N7">
            <v>7927.6699999999973</v>
          </cell>
          <cell r="O7">
            <v>9458.3900000000012</v>
          </cell>
          <cell r="P7">
            <v>52939.509999999995</v>
          </cell>
          <cell r="R7" t="str">
            <v>FY13-Cash Labor Hours</v>
          </cell>
          <cell r="S7">
            <v>1752.5</v>
          </cell>
          <cell r="T7">
            <v>4272.5</v>
          </cell>
          <cell r="U7">
            <v>6979.25</v>
          </cell>
          <cell r="V7">
            <v>10978.05</v>
          </cell>
          <cell r="W7">
            <v>14335.3</v>
          </cell>
          <cell r="X7">
            <v>17758.05</v>
          </cell>
          <cell r="Y7">
            <v>21486.799999999999</v>
          </cell>
          <cell r="Z7">
            <v>25294.32</v>
          </cell>
          <cell r="AA7">
            <v>29736.35</v>
          </cell>
          <cell r="AB7">
            <v>35553.449999999997</v>
          </cell>
          <cell r="AC7">
            <v>43481.119999999995</v>
          </cell>
          <cell r="AD7">
            <v>52939.509999999995</v>
          </cell>
        </row>
        <row r="8">
          <cell r="B8" t="str">
            <v>FY13-Non-Cash Labor Hours</v>
          </cell>
          <cell r="C8" t="str">
            <v>Non-Cash Labor Hours</v>
          </cell>
          <cell r="D8">
            <v>677</v>
          </cell>
          <cell r="E8">
            <v>1212.48</v>
          </cell>
          <cell r="F8">
            <v>1731.25</v>
          </cell>
          <cell r="G8">
            <v>2182</v>
          </cell>
          <cell r="H8">
            <v>1444</v>
          </cell>
          <cell r="I8">
            <v>1306.48</v>
          </cell>
          <cell r="J8">
            <v>1792.75</v>
          </cell>
          <cell r="K8">
            <v>1628.5</v>
          </cell>
          <cell r="L8">
            <v>1465.75</v>
          </cell>
          <cell r="M8">
            <v>1819.35</v>
          </cell>
          <cell r="N8">
            <v>3229.46</v>
          </cell>
          <cell r="O8">
            <v>4443.7700000000013</v>
          </cell>
          <cell r="P8">
            <v>22932.79</v>
          </cell>
          <cell r="R8" t="str">
            <v>FY13-Non-Cash Labor Hours</v>
          </cell>
          <cell r="S8">
            <v>677</v>
          </cell>
          <cell r="T8">
            <v>1889.48</v>
          </cell>
          <cell r="U8">
            <v>3620.73</v>
          </cell>
          <cell r="V8">
            <v>5802.73</v>
          </cell>
          <cell r="W8">
            <v>7246.73</v>
          </cell>
          <cell r="X8">
            <v>8553.2099999999991</v>
          </cell>
          <cell r="Y8">
            <v>10345.959999999999</v>
          </cell>
          <cell r="Z8">
            <v>11974.46</v>
          </cell>
          <cell r="AA8">
            <v>13440.21</v>
          </cell>
          <cell r="AB8">
            <v>15259.56</v>
          </cell>
          <cell r="AC8">
            <v>18489.02</v>
          </cell>
          <cell r="AD8">
            <v>22932.79</v>
          </cell>
        </row>
        <row r="9">
          <cell r="B9" t="str">
            <v>FY13-Total Cost</v>
          </cell>
          <cell r="C9" t="str">
            <v>Total Cost</v>
          </cell>
          <cell r="D9">
            <v>30280</v>
          </cell>
          <cell r="E9">
            <v>62118.400000000001</v>
          </cell>
          <cell r="F9">
            <v>103129.09</v>
          </cell>
          <cell r="G9">
            <v>162092.91</v>
          </cell>
          <cell r="H9">
            <v>190877.54</v>
          </cell>
          <cell r="I9">
            <v>430390.70999999996</v>
          </cell>
          <cell r="J9">
            <v>524277.08999999997</v>
          </cell>
          <cell r="K9">
            <v>540872.29999999993</v>
          </cell>
          <cell r="L9">
            <v>477710.52999999997</v>
          </cell>
          <cell r="M9">
            <v>723186.08</v>
          </cell>
          <cell r="N9">
            <v>1125169.26</v>
          </cell>
          <cell r="O9">
            <v>792461.6399999999</v>
          </cell>
          <cell r="P9">
            <v>5162565.55</v>
          </cell>
          <cell r="R9" t="str">
            <v>FY13-Total Cost</v>
          </cell>
          <cell r="S9">
            <v>30280</v>
          </cell>
          <cell r="T9">
            <v>92398.399999999994</v>
          </cell>
          <cell r="U9">
            <v>195527.49</v>
          </cell>
          <cell r="V9">
            <v>357620.4</v>
          </cell>
          <cell r="W9">
            <v>548497.94000000006</v>
          </cell>
          <cell r="X9">
            <v>978888.65</v>
          </cell>
          <cell r="Y9">
            <v>1503165.74</v>
          </cell>
          <cell r="Z9">
            <v>2044038.0399999998</v>
          </cell>
          <cell r="AA9">
            <v>2521748.5699999998</v>
          </cell>
          <cell r="AB9">
            <v>3244934.6499999994</v>
          </cell>
          <cell r="AC9">
            <v>4370103.91</v>
          </cell>
          <cell r="AD9">
            <v>5162565.55</v>
          </cell>
        </row>
        <row r="10">
          <cell r="B10" t="str">
            <v>FY13-Total Hours</v>
          </cell>
          <cell r="C10" t="str">
            <v>Total Hours</v>
          </cell>
          <cell r="D10">
            <v>2429.5</v>
          </cell>
          <cell r="E10">
            <v>3732.48</v>
          </cell>
          <cell r="F10">
            <v>4438</v>
          </cell>
          <cell r="G10">
            <v>6180.8</v>
          </cell>
          <cell r="H10">
            <v>4801.25</v>
          </cell>
          <cell r="I10">
            <v>4729.2299999999996</v>
          </cell>
          <cell r="J10">
            <v>5521.5</v>
          </cell>
          <cell r="K10">
            <v>5436.02</v>
          </cell>
          <cell r="L10">
            <v>5907.78</v>
          </cell>
          <cell r="M10">
            <v>7636.4499999999989</v>
          </cell>
          <cell r="N10">
            <v>11157.129999999997</v>
          </cell>
          <cell r="O10">
            <v>13902.160000000003</v>
          </cell>
          <cell r="P10">
            <v>75872.299999999988</v>
          </cell>
          <cell r="R10" t="str">
            <v>FY13-Total Hours</v>
          </cell>
          <cell r="S10">
            <v>2429.5</v>
          </cell>
          <cell r="T10">
            <v>6161.98</v>
          </cell>
          <cell r="U10">
            <v>10599.98</v>
          </cell>
          <cell r="V10">
            <v>16780.78</v>
          </cell>
          <cell r="W10">
            <v>21582.03</v>
          </cell>
          <cell r="X10">
            <v>26311.26</v>
          </cell>
          <cell r="Y10">
            <v>31832.76</v>
          </cell>
          <cell r="Z10">
            <v>37268.78</v>
          </cell>
          <cell r="AA10">
            <v>43176.56</v>
          </cell>
          <cell r="AB10">
            <v>50813.009999999995</v>
          </cell>
          <cell r="AC10">
            <v>61970.14</v>
          </cell>
          <cell r="AD10">
            <v>75872.299999999988</v>
          </cell>
        </row>
        <row r="11">
          <cell r="B11" t="str">
            <v>FY14-Non-Labor Cost</v>
          </cell>
          <cell r="C11" t="str">
            <v>Non-Labor Cost</v>
          </cell>
          <cell r="D11">
            <v>555794.77</v>
          </cell>
          <cell r="E11">
            <v>272287.93538461538</v>
          </cell>
          <cell r="F11">
            <v>272287.93538461538</v>
          </cell>
          <cell r="G11">
            <v>272287.93538461538</v>
          </cell>
          <cell r="H11">
            <v>272287.93538461538</v>
          </cell>
          <cell r="I11">
            <v>272287.93538461538</v>
          </cell>
          <cell r="J11">
            <v>272287.93538461538</v>
          </cell>
          <cell r="K11">
            <v>272287.93538461538</v>
          </cell>
          <cell r="L11">
            <v>272287.93538461538</v>
          </cell>
          <cell r="M11">
            <v>272287.93538461538</v>
          </cell>
          <cell r="N11">
            <v>272287.93538461538</v>
          </cell>
          <cell r="O11">
            <v>272287.93538461538</v>
          </cell>
          <cell r="P11">
            <v>3550962.0592307686</v>
          </cell>
          <cell r="R11" t="str">
            <v>FY14-Non-Labor Cost</v>
          </cell>
          <cell r="S11">
            <v>555794.77</v>
          </cell>
          <cell r="T11">
            <v>828082.70538461534</v>
          </cell>
          <cell r="U11">
            <v>1100370.6407692307</v>
          </cell>
          <cell r="V11">
            <v>1372658.576153846</v>
          </cell>
          <cell r="W11">
            <v>1644946.5115384613</v>
          </cell>
          <cell r="X11">
            <v>1917234.4469230766</v>
          </cell>
          <cell r="Y11">
            <v>2189522.382307692</v>
          </cell>
          <cell r="Z11">
            <v>2461810.3176923073</v>
          </cell>
          <cell r="AA11">
            <v>2734098.2530769226</v>
          </cell>
          <cell r="AB11">
            <v>3006386.1884615379</v>
          </cell>
          <cell r="AC11">
            <v>3278674.1238461533</v>
          </cell>
          <cell r="AD11">
            <v>3550962.0592307686</v>
          </cell>
        </row>
        <row r="12">
          <cell r="B12" t="str">
            <v>FY14-Cash Labor Costs</v>
          </cell>
          <cell r="C12" t="str">
            <v>Cash Labor Costs</v>
          </cell>
          <cell r="D12">
            <v>383924.35</v>
          </cell>
          <cell r="E12">
            <v>796618.67500000005</v>
          </cell>
          <cell r="F12">
            <v>866949.71100000013</v>
          </cell>
          <cell r="G12">
            <v>866949.71100000013</v>
          </cell>
          <cell r="H12">
            <v>837605.71100000013</v>
          </cell>
          <cell r="I12">
            <v>787957.71100000013</v>
          </cell>
          <cell r="J12">
            <v>720845.71100000013</v>
          </cell>
          <cell r="K12">
            <v>720845.71100000013</v>
          </cell>
          <cell r="L12">
            <v>694357.71100000013</v>
          </cell>
          <cell r="M12">
            <v>694357.71100000013</v>
          </cell>
          <cell r="N12">
            <v>671257.71100000013</v>
          </cell>
          <cell r="O12">
            <v>671257.71100000013</v>
          </cell>
          <cell r="P12">
            <v>8712928.1350000016</v>
          </cell>
          <cell r="R12" t="str">
            <v>FY14-Cash Labor Costs</v>
          </cell>
          <cell r="S12">
            <v>383924.35</v>
          </cell>
          <cell r="T12">
            <v>1180543.0249999999</v>
          </cell>
          <cell r="U12">
            <v>2047492.736</v>
          </cell>
          <cell r="V12">
            <v>2914442.4470000002</v>
          </cell>
          <cell r="W12">
            <v>3752048.1580000003</v>
          </cell>
          <cell r="X12">
            <v>4540005.8690000009</v>
          </cell>
          <cell r="Y12">
            <v>5260851.580000001</v>
          </cell>
          <cell r="Z12">
            <v>5981697.2910000011</v>
          </cell>
          <cell r="AA12">
            <v>6676055.0020000013</v>
          </cell>
          <cell r="AB12">
            <v>7370412.7130000014</v>
          </cell>
          <cell r="AC12">
            <v>8041670.4240000015</v>
          </cell>
          <cell r="AD12">
            <v>8712928.1350000016</v>
          </cell>
        </row>
        <row r="13">
          <cell r="B13" t="str">
            <v>FY14-Non-Cash Labor Costs</v>
          </cell>
          <cell r="C13" t="str">
            <v>Non-Cash Labor Costs</v>
          </cell>
          <cell r="D13">
            <v>143562.4</v>
          </cell>
          <cell r="E13">
            <v>179116</v>
          </cell>
          <cell r="F13">
            <v>285486.40000000002</v>
          </cell>
          <cell r="G13">
            <v>231550.4</v>
          </cell>
          <cell r="H13">
            <v>151260</v>
          </cell>
          <cell r="I13">
            <v>188261.59999999998</v>
          </cell>
          <cell r="J13">
            <v>187089.6</v>
          </cell>
          <cell r="K13">
            <v>134396</v>
          </cell>
          <cell r="L13">
            <v>116533.59999999996</v>
          </cell>
          <cell r="M13">
            <v>107767.99999999997</v>
          </cell>
          <cell r="N13">
            <v>129000.79999999999</v>
          </cell>
          <cell r="O13">
            <v>123825.59999999998</v>
          </cell>
          <cell r="P13">
            <v>1977850.4</v>
          </cell>
          <cell r="R13" t="str">
            <v>FY14-Non-Cash Labor Costs</v>
          </cell>
          <cell r="S13">
            <v>143562.4</v>
          </cell>
          <cell r="T13">
            <v>322678.40000000002</v>
          </cell>
          <cell r="U13">
            <v>608164.80000000005</v>
          </cell>
          <cell r="V13">
            <v>839715.20000000007</v>
          </cell>
          <cell r="W13">
            <v>990975.20000000007</v>
          </cell>
          <cell r="X13">
            <v>1179236.8</v>
          </cell>
          <cell r="Y13">
            <v>1366326.4000000001</v>
          </cell>
          <cell r="Z13">
            <v>1500722.4000000001</v>
          </cell>
          <cell r="AA13">
            <v>1617256</v>
          </cell>
          <cell r="AB13">
            <v>1725024</v>
          </cell>
          <cell r="AC13">
            <v>1854024.8</v>
          </cell>
          <cell r="AD13">
            <v>1977850.4</v>
          </cell>
        </row>
        <row r="14">
          <cell r="B14" t="str">
            <v>FY14-Cash Labor Hours</v>
          </cell>
          <cell r="C14" t="str">
            <v>Cash Labor Hours</v>
          </cell>
          <cell r="D14">
            <v>5237.09</v>
          </cell>
          <cell r="E14">
            <v>5237.09</v>
          </cell>
          <cell r="F14">
            <v>8387.1</v>
          </cell>
          <cell r="G14">
            <v>8389.43</v>
          </cell>
          <cell r="H14">
            <v>5790.78</v>
          </cell>
          <cell r="I14">
            <v>7209.9200000000019</v>
          </cell>
          <cell r="J14">
            <v>6892.13</v>
          </cell>
          <cell r="K14">
            <v>5209</v>
          </cell>
          <cell r="L14">
            <v>5432.8899999999994</v>
          </cell>
          <cell r="M14">
            <v>4392.5800000000008</v>
          </cell>
          <cell r="N14">
            <v>4010.1299999999992</v>
          </cell>
          <cell r="O14">
            <v>3134.83</v>
          </cell>
          <cell r="P14">
            <v>69322.97</v>
          </cell>
          <cell r="R14" t="str">
            <v>FY14-Cash Labor Hours</v>
          </cell>
          <cell r="S14">
            <v>5237.09</v>
          </cell>
          <cell r="T14">
            <v>10474.18</v>
          </cell>
          <cell r="U14">
            <v>18861.28</v>
          </cell>
          <cell r="V14">
            <v>27250.71</v>
          </cell>
          <cell r="W14">
            <v>33041.49</v>
          </cell>
          <cell r="X14">
            <v>40251.410000000003</v>
          </cell>
          <cell r="Y14">
            <v>47143.54</v>
          </cell>
          <cell r="Z14">
            <v>52352.54</v>
          </cell>
          <cell r="AA14">
            <v>57785.43</v>
          </cell>
          <cell r="AB14">
            <v>62178.01</v>
          </cell>
          <cell r="AC14">
            <v>66188.14</v>
          </cell>
          <cell r="AD14">
            <v>69322.97</v>
          </cell>
        </row>
        <row r="15">
          <cell r="B15" t="str">
            <v>FY14-Non-Cash Labor Hours</v>
          </cell>
          <cell r="C15" t="str">
            <v>Non-Cash Labor Hours</v>
          </cell>
          <cell r="D15">
            <v>3276.57</v>
          </cell>
          <cell r="E15">
            <v>3406.4500000000003</v>
          </cell>
          <cell r="F15">
            <v>7496.1200000000008</v>
          </cell>
          <cell r="G15">
            <v>6010.1200000000026</v>
          </cell>
          <cell r="H15">
            <v>3897.0099999999993</v>
          </cell>
          <cell r="I15">
            <v>5463.090000000002</v>
          </cell>
          <cell r="J15">
            <v>5158.9999999999991</v>
          </cell>
          <cell r="K15">
            <v>3732.6900000000005</v>
          </cell>
          <cell r="L15">
            <v>3629.8700000000003</v>
          </cell>
          <cell r="M15">
            <v>2762.29</v>
          </cell>
          <cell r="N15">
            <v>2911.5000000000009</v>
          </cell>
          <cell r="O15">
            <v>2418.670000000001</v>
          </cell>
          <cell r="P15">
            <v>50163.380000000005</v>
          </cell>
          <cell r="R15" t="str">
            <v>FY14-Non-Cash Labor Hours</v>
          </cell>
          <cell r="S15">
            <v>3276.57</v>
          </cell>
          <cell r="T15">
            <v>6683.02</v>
          </cell>
          <cell r="U15">
            <v>14179.140000000001</v>
          </cell>
          <cell r="V15">
            <v>20189.260000000002</v>
          </cell>
          <cell r="W15">
            <v>24086.27</v>
          </cell>
          <cell r="X15">
            <v>29549.360000000001</v>
          </cell>
          <cell r="Y15">
            <v>34708.36</v>
          </cell>
          <cell r="Z15">
            <v>38441.050000000003</v>
          </cell>
          <cell r="AA15">
            <v>42070.920000000006</v>
          </cell>
          <cell r="AB15">
            <v>44833.210000000006</v>
          </cell>
          <cell r="AC15">
            <v>47744.710000000006</v>
          </cell>
          <cell r="AD15">
            <v>50163.380000000005</v>
          </cell>
        </row>
        <row r="16">
          <cell r="B16" t="str">
            <v>FY14-Total Cost</v>
          </cell>
          <cell r="C16" t="str">
            <v>Total Cost</v>
          </cell>
          <cell r="D16">
            <v>1083281.52</v>
          </cell>
          <cell r="E16">
            <v>1248022.6103846154</v>
          </cell>
          <cell r="F16">
            <v>1424724.0463846154</v>
          </cell>
          <cell r="G16">
            <v>1370788.0463846154</v>
          </cell>
          <cell r="H16">
            <v>1261153.6463846155</v>
          </cell>
          <cell r="I16">
            <v>1248507.2463846155</v>
          </cell>
          <cell r="J16">
            <v>1180223.2463846155</v>
          </cell>
          <cell r="K16">
            <v>1127529.6463846155</v>
          </cell>
          <cell r="L16">
            <v>1083179.2463846153</v>
          </cell>
          <cell r="M16">
            <v>1074413.6463846155</v>
          </cell>
          <cell r="N16">
            <v>1072546.4463846155</v>
          </cell>
          <cell r="O16">
            <v>1067371.2463846155</v>
          </cell>
          <cell r="P16">
            <v>14241740.594230769</v>
          </cell>
          <cell r="R16" t="str">
            <v>FY14-Total Cost</v>
          </cell>
          <cell r="S16">
            <v>1083281.52</v>
          </cell>
          <cell r="T16">
            <v>2331304.1303846152</v>
          </cell>
          <cell r="U16">
            <v>3756028.1767692305</v>
          </cell>
          <cell r="V16">
            <v>5126816.2231538463</v>
          </cell>
          <cell r="W16">
            <v>6387969.8695384618</v>
          </cell>
          <cell r="X16">
            <v>7636477.1159230778</v>
          </cell>
          <cell r="Y16">
            <v>8816700.3623076938</v>
          </cell>
          <cell r="Z16">
            <v>9944230.0086923093</v>
          </cell>
          <cell r="AA16">
            <v>11027409.255076924</v>
          </cell>
          <cell r="AB16">
            <v>12101822.90146154</v>
          </cell>
          <cell r="AC16">
            <v>13174369.347846156</v>
          </cell>
          <cell r="AD16">
            <v>14241740.594230771</v>
          </cell>
        </row>
        <row r="17">
          <cell r="B17" t="str">
            <v>FY14-Total Hours</v>
          </cell>
          <cell r="C17" t="str">
            <v>Total Hours</v>
          </cell>
          <cell r="D17">
            <v>8513.66</v>
          </cell>
          <cell r="E17">
            <v>8643.5400000000009</v>
          </cell>
          <cell r="F17">
            <v>15883.220000000001</v>
          </cell>
          <cell r="G17">
            <v>14399.550000000003</v>
          </cell>
          <cell r="H17">
            <v>9687.7899999999991</v>
          </cell>
          <cell r="I17">
            <v>12673.010000000004</v>
          </cell>
          <cell r="J17">
            <v>12051.13</v>
          </cell>
          <cell r="K17">
            <v>8941.69</v>
          </cell>
          <cell r="L17">
            <v>9062.76</v>
          </cell>
          <cell r="M17">
            <v>7154.8700000000008</v>
          </cell>
          <cell r="N17">
            <v>6921.63</v>
          </cell>
          <cell r="O17">
            <v>5553.5000000000009</v>
          </cell>
          <cell r="P17">
            <v>119486.35</v>
          </cell>
          <cell r="R17" t="str">
            <v>FY14-Total Hours</v>
          </cell>
          <cell r="S17">
            <v>8513.66</v>
          </cell>
          <cell r="T17">
            <v>17157.2</v>
          </cell>
          <cell r="U17">
            <v>33040.42</v>
          </cell>
          <cell r="V17">
            <v>47439.97</v>
          </cell>
          <cell r="W17">
            <v>57127.759999999995</v>
          </cell>
          <cell r="X17">
            <v>69800.77</v>
          </cell>
          <cell r="Y17">
            <v>81851.899999999994</v>
          </cell>
          <cell r="Z17">
            <v>90793.59</v>
          </cell>
          <cell r="AA17">
            <v>99856.35</v>
          </cell>
          <cell r="AB17">
            <v>107011.22</v>
          </cell>
          <cell r="AC17">
            <v>113932.85</v>
          </cell>
          <cell r="AD17">
            <v>119486.35</v>
          </cell>
        </row>
        <row r="18">
          <cell r="B18" t="str">
            <v>FY15-Non-Labor Cost</v>
          </cell>
          <cell r="C18" t="str">
            <v>Non-Labor Cost</v>
          </cell>
          <cell r="D18">
            <v>272287.93538461538</v>
          </cell>
          <cell r="E18">
            <v>272287.93538461538</v>
          </cell>
          <cell r="F18">
            <v>0</v>
          </cell>
          <cell r="G18">
            <v>0</v>
          </cell>
          <cell r="H18">
            <v>0</v>
          </cell>
          <cell r="I18">
            <v>0</v>
          </cell>
          <cell r="J18">
            <v>0</v>
          </cell>
          <cell r="K18">
            <v>0</v>
          </cell>
          <cell r="L18">
            <v>0</v>
          </cell>
          <cell r="M18">
            <v>0</v>
          </cell>
          <cell r="N18">
            <v>0</v>
          </cell>
          <cell r="O18">
            <v>0</v>
          </cell>
          <cell r="P18">
            <v>544575.87076923077</v>
          </cell>
          <cell r="R18" t="str">
            <v>FY15-Non-Labor Cost</v>
          </cell>
          <cell r="S18">
            <v>272287.93538461538</v>
          </cell>
          <cell r="T18">
            <v>544575.87076923077</v>
          </cell>
          <cell r="U18">
            <v>544575.87076923077</v>
          </cell>
          <cell r="V18">
            <v>544575.87076923077</v>
          </cell>
          <cell r="W18">
            <v>544575.87076923077</v>
          </cell>
          <cell r="X18">
            <v>544575.87076923077</v>
          </cell>
          <cell r="Y18">
            <v>544575.87076923077</v>
          </cell>
          <cell r="Z18">
            <v>544575.87076923077</v>
          </cell>
          <cell r="AA18">
            <v>544575.87076923077</v>
          </cell>
          <cell r="AB18">
            <v>544575.87076923077</v>
          </cell>
          <cell r="AC18">
            <v>544575.87076923077</v>
          </cell>
          <cell r="AD18">
            <v>544575.87076923077</v>
          </cell>
        </row>
        <row r="19">
          <cell r="B19" t="str">
            <v>FY15-Cash Labor Costs</v>
          </cell>
          <cell r="C19" t="str">
            <v>Cash Labor Costs</v>
          </cell>
          <cell r="D19">
            <v>628137.71100000013</v>
          </cell>
          <cell r="E19">
            <v>662504.15999999992</v>
          </cell>
          <cell r="F19">
            <v>0</v>
          </cell>
          <cell r="G19">
            <v>0</v>
          </cell>
          <cell r="H19">
            <v>0</v>
          </cell>
          <cell r="I19">
            <v>0</v>
          </cell>
          <cell r="J19">
            <v>0</v>
          </cell>
          <cell r="K19">
            <v>0</v>
          </cell>
          <cell r="L19">
            <v>0</v>
          </cell>
          <cell r="M19">
            <v>0</v>
          </cell>
          <cell r="N19">
            <v>0</v>
          </cell>
          <cell r="O19">
            <v>0</v>
          </cell>
          <cell r="P19">
            <v>1290641.871</v>
          </cell>
          <cell r="R19" t="str">
            <v>FY15-Cash Labor Costs</v>
          </cell>
          <cell r="S19">
            <v>628137.71100000013</v>
          </cell>
          <cell r="T19">
            <v>1290641.871</v>
          </cell>
          <cell r="U19">
            <v>1290641.871</v>
          </cell>
          <cell r="V19">
            <v>1290641.871</v>
          </cell>
          <cell r="W19">
            <v>1290641.871</v>
          </cell>
          <cell r="X19">
            <v>1290641.871</v>
          </cell>
          <cell r="Y19">
            <v>1290641.871</v>
          </cell>
          <cell r="Z19">
            <v>1290641.871</v>
          </cell>
          <cell r="AA19">
            <v>1290641.871</v>
          </cell>
          <cell r="AB19">
            <v>1290641.871</v>
          </cell>
          <cell r="AC19">
            <v>1290641.871</v>
          </cell>
          <cell r="AD19">
            <v>1290641.871</v>
          </cell>
        </row>
        <row r="20">
          <cell r="B20" t="str">
            <v>FY15-Non-Cash Labor Costs</v>
          </cell>
          <cell r="C20" t="str">
            <v>Non-Cash Labor Costs</v>
          </cell>
          <cell r="D20">
            <v>102071.19999999998</v>
          </cell>
          <cell r="E20">
            <v>46862.399999999994</v>
          </cell>
          <cell r="F20">
            <v>0</v>
          </cell>
          <cell r="G20">
            <v>0</v>
          </cell>
          <cell r="H20">
            <v>0</v>
          </cell>
          <cell r="I20">
            <v>0</v>
          </cell>
          <cell r="J20">
            <v>0</v>
          </cell>
          <cell r="K20">
            <v>0</v>
          </cell>
          <cell r="L20">
            <v>0</v>
          </cell>
          <cell r="M20">
            <v>0</v>
          </cell>
          <cell r="N20">
            <v>0</v>
          </cell>
          <cell r="O20">
            <v>0</v>
          </cell>
          <cell r="P20">
            <v>148933.59999999998</v>
          </cell>
          <cell r="R20" t="str">
            <v>FY15-Non-Cash Labor Costs</v>
          </cell>
          <cell r="S20">
            <v>102071.19999999998</v>
          </cell>
          <cell r="T20">
            <v>148933.59999999998</v>
          </cell>
          <cell r="U20">
            <v>148933.59999999998</v>
          </cell>
          <cell r="V20">
            <v>148933.59999999998</v>
          </cell>
          <cell r="W20">
            <v>148933.59999999998</v>
          </cell>
          <cell r="X20">
            <v>148933.59999999998</v>
          </cell>
          <cell r="Y20">
            <v>148933.59999999998</v>
          </cell>
          <cell r="Z20">
            <v>148933.59999999998</v>
          </cell>
          <cell r="AA20">
            <v>148933.59999999998</v>
          </cell>
          <cell r="AB20">
            <v>148933.59999999998</v>
          </cell>
          <cell r="AC20">
            <v>148933.59999999998</v>
          </cell>
          <cell r="AD20">
            <v>148933.59999999998</v>
          </cell>
        </row>
        <row r="21">
          <cell r="B21" t="str">
            <v>FY15-Cash Labor Hours</v>
          </cell>
          <cell r="C21" t="str">
            <v>Cash Labor Hours</v>
          </cell>
          <cell r="D21">
            <v>2468.5900000000006</v>
          </cell>
          <cell r="E21">
            <v>2034.4199999999998</v>
          </cell>
          <cell r="F21">
            <v>0</v>
          </cell>
          <cell r="G21">
            <v>0</v>
          </cell>
          <cell r="H21">
            <v>0</v>
          </cell>
          <cell r="I21">
            <v>0</v>
          </cell>
          <cell r="J21">
            <v>0</v>
          </cell>
          <cell r="K21">
            <v>0</v>
          </cell>
          <cell r="L21">
            <v>0</v>
          </cell>
          <cell r="M21">
            <v>0</v>
          </cell>
          <cell r="N21">
            <v>0</v>
          </cell>
          <cell r="O21">
            <v>0</v>
          </cell>
          <cell r="P21">
            <v>4503.01</v>
          </cell>
          <cell r="R21" t="str">
            <v>FY15-Cash Labor Hours</v>
          </cell>
          <cell r="S21">
            <v>2468.5900000000006</v>
          </cell>
          <cell r="T21">
            <v>4503.01</v>
          </cell>
          <cell r="U21">
            <v>4503.01</v>
          </cell>
          <cell r="V21">
            <v>4503.01</v>
          </cell>
          <cell r="W21">
            <v>4503.01</v>
          </cell>
          <cell r="X21">
            <v>4503.01</v>
          </cell>
          <cell r="Y21">
            <v>4503.01</v>
          </cell>
          <cell r="Z21">
            <v>4503.01</v>
          </cell>
          <cell r="AA21">
            <v>4503.01</v>
          </cell>
          <cell r="AB21">
            <v>4503.01</v>
          </cell>
          <cell r="AC21">
            <v>4503.01</v>
          </cell>
          <cell r="AD21">
            <v>4503.01</v>
          </cell>
        </row>
        <row r="22">
          <cell r="B22" t="str">
            <v>FY15-Non-Cash Labor Hours</v>
          </cell>
          <cell r="C22" t="str">
            <v>Non-Cash Labor Hours</v>
          </cell>
          <cell r="D22">
            <v>1994.1800000000003</v>
          </cell>
          <cell r="E22">
            <v>1151.55</v>
          </cell>
          <cell r="F22">
            <v>0</v>
          </cell>
          <cell r="G22">
            <v>0</v>
          </cell>
          <cell r="H22">
            <v>0</v>
          </cell>
          <cell r="I22">
            <v>0</v>
          </cell>
          <cell r="J22">
            <v>0</v>
          </cell>
          <cell r="K22">
            <v>0</v>
          </cell>
          <cell r="L22">
            <v>0</v>
          </cell>
          <cell r="M22">
            <v>0</v>
          </cell>
          <cell r="N22">
            <v>0</v>
          </cell>
          <cell r="O22">
            <v>0</v>
          </cell>
          <cell r="P22">
            <v>3145.7300000000005</v>
          </cell>
          <cell r="R22" t="str">
            <v>FY15-Non-Cash Labor Hours</v>
          </cell>
          <cell r="S22">
            <v>1994.1800000000003</v>
          </cell>
          <cell r="T22">
            <v>3145.7300000000005</v>
          </cell>
          <cell r="U22">
            <v>3145.7300000000005</v>
          </cell>
          <cell r="V22">
            <v>3145.7300000000005</v>
          </cell>
          <cell r="W22">
            <v>3145.7300000000005</v>
          </cell>
          <cell r="X22">
            <v>3145.7300000000005</v>
          </cell>
          <cell r="Y22">
            <v>3145.7300000000005</v>
          </cell>
          <cell r="Z22">
            <v>3145.7300000000005</v>
          </cell>
          <cell r="AA22">
            <v>3145.7300000000005</v>
          </cell>
          <cell r="AB22">
            <v>3145.7300000000005</v>
          </cell>
          <cell r="AC22">
            <v>3145.7300000000005</v>
          </cell>
          <cell r="AD22">
            <v>3145.7300000000005</v>
          </cell>
        </row>
        <row r="23">
          <cell r="B23" t="str">
            <v>FY15-Total Cost</v>
          </cell>
          <cell r="C23" t="str">
            <v>Total Cost</v>
          </cell>
          <cell r="D23">
            <v>1002496.8463846154</v>
          </cell>
          <cell r="E23">
            <v>981654.49538461526</v>
          </cell>
          <cell r="F23">
            <v>0</v>
          </cell>
          <cell r="G23">
            <v>0</v>
          </cell>
          <cell r="H23">
            <v>0</v>
          </cell>
          <cell r="I23">
            <v>0</v>
          </cell>
          <cell r="J23">
            <v>0</v>
          </cell>
          <cell r="K23">
            <v>0</v>
          </cell>
          <cell r="L23">
            <v>0</v>
          </cell>
          <cell r="M23">
            <v>0</v>
          </cell>
          <cell r="N23">
            <v>0</v>
          </cell>
          <cell r="O23">
            <v>0</v>
          </cell>
          <cell r="P23">
            <v>1984151.3417692306</v>
          </cell>
          <cell r="R23" t="str">
            <v>FY15-Total Cost</v>
          </cell>
          <cell r="S23">
            <v>1002496.8463846154</v>
          </cell>
          <cell r="T23">
            <v>1984151.341769231</v>
          </cell>
          <cell r="U23">
            <v>1984151.341769231</v>
          </cell>
          <cell r="V23">
            <v>1984151.341769231</v>
          </cell>
          <cell r="W23">
            <v>1984151.341769231</v>
          </cell>
          <cell r="X23">
            <v>1984151.341769231</v>
          </cell>
          <cell r="Y23">
            <v>1984151.341769231</v>
          </cell>
          <cell r="Z23">
            <v>1984151.341769231</v>
          </cell>
          <cell r="AA23">
            <v>1984151.341769231</v>
          </cell>
          <cell r="AB23">
            <v>1984151.341769231</v>
          </cell>
          <cell r="AC23">
            <v>1984151.341769231</v>
          </cell>
          <cell r="AD23">
            <v>1984151.341769231</v>
          </cell>
        </row>
        <row r="24">
          <cell r="B24" t="str">
            <v>FY15-Total Hours</v>
          </cell>
          <cell r="C24" t="str">
            <v>Total Hours</v>
          </cell>
          <cell r="D24">
            <v>4462.7700000000004</v>
          </cell>
          <cell r="E24">
            <v>3185.97</v>
          </cell>
          <cell r="F24">
            <v>0</v>
          </cell>
          <cell r="G24">
            <v>0</v>
          </cell>
          <cell r="H24">
            <v>0</v>
          </cell>
          <cell r="I24">
            <v>0</v>
          </cell>
          <cell r="J24">
            <v>0</v>
          </cell>
          <cell r="K24">
            <v>0</v>
          </cell>
          <cell r="L24">
            <v>0</v>
          </cell>
          <cell r="M24">
            <v>0</v>
          </cell>
          <cell r="N24">
            <v>0</v>
          </cell>
          <cell r="O24">
            <v>0</v>
          </cell>
          <cell r="P24">
            <v>7648.74</v>
          </cell>
          <cell r="R24" t="str">
            <v>FY15-Total Hours</v>
          </cell>
          <cell r="S24">
            <v>4462.7700000000004</v>
          </cell>
          <cell r="T24">
            <v>7648.7400000000007</v>
          </cell>
          <cell r="U24">
            <v>7648.7400000000007</v>
          </cell>
          <cell r="V24">
            <v>7648.7400000000007</v>
          </cell>
          <cell r="W24">
            <v>7648.7400000000007</v>
          </cell>
          <cell r="X24">
            <v>7648.7400000000007</v>
          </cell>
          <cell r="Y24">
            <v>7648.7400000000007</v>
          </cell>
          <cell r="Z24">
            <v>7648.7400000000007</v>
          </cell>
          <cell r="AA24">
            <v>7648.7400000000007</v>
          </cell>
          <cell r="AB24">
            <v>7648.7400000000007</v>
          </cell>
          <cell r="AC24">
            <v>7648.7400000000007</v>
          </cell>
          <cell r="AD24">
            <v>7648.7400000000007</v>
          </cell>
        </row>
        <row r="26">
          <cell r="B26" t="str">
            <v>Total-Non-Labor Cost</v>
          </cell>
          <cell r="C26" t="str">
            <v>Non-Labor Cost</v>
          </cell>
          <cell r="D26">
            <v>828082.70538461534</v>
          </cell>
          <cell r="E26">
            <v>544575.87076923077</v>
          </cell>
          <cell r="F26">
            <v>272337.93538461538</v>
          </cell>
          <cell r="G26">
            <v>286651.86538461538</v>
          </cell>
          <cell r="H26">
            <v>293148.73538461537</v>
          </cell>
          <cell r="I26">
            <v>312442.20538461534</v>
          </cell>
          <cell r="J26">
            <v>418343.89538461535</v>
          </cell>
          <cell r="K26">
            <v>385106.00538461533</v>
          </cell>
          <cell r="L26">
            <v>316458.33538461535</v>
          </cell>
          <cell r="M26">
            <v>296345.65538461535</v>
          </cell>
          <cell r="N26">
            <v>747612.99538461538</v>
          </cell>
          <cell r="O26">
            <v>505713.21538461535</v>
          </cell>
          <cell r="P26">
            <v>5206819.42</v>
          </cell>
        </row>
        <row r="27">
          <cell r="B27" t="str">
            <v>Total-Cash Labor Costs</v>
          </cell>
          <cell r="C27" t="str">
            <v>Cash Labor Costs</v>
          </cell>
          <cell r="D27">
            <v>1012062.0610000001</v>
          </cell>
          <cell r="E27">
            <v>1459122.835</v>
          </cell>
          <cell r="F27">
            <v>892128.80100000009</v>
          </cell>
          <cell r="G27">
            <v>897118.69100000011</v>
          </cell>
          <cell r="H27">
            <v>948742.45100000012</v>
          </cell>
          <cell r="I27">
            <v>1118115.7510000002</v>
          </cell>
          <cell r="J27">
            <v>1018086.8410000001</v>
          </cell>
          <cell r="K27">
            <v>1064819.9410000001</v>
          </cell>
          <cell r="L27">
            <v>1058877.841</v>
          </cell>
          <cell r="M27">
            <v>1299218.071</v>
          </cell>
          <cell r="N27">
            <v>1151593.9110000001</v>
          </cell>
          <cell r="O27">
            <v>1010797.2710000002</v>
          </cell>
          <cell r="P27">
            <v>12930684.466000002</v>
          </cell>
        </row>
        <row r="28">
          <cell r="B28" t="str">
            <v>Total-Non-Cash Labor Costs</v>
          </cell>
          <cell r="C28" t="str">
            <v>Non-Cash Labor Costs</v>
          </cell>
          <cell r="D28">
            <v>275913.59999999998</v>
          </cell>
          <cell r="E28">
            <v>288096.8</v>
          </cell>
          <cell r="F28">
            <v>363386.4</v>
          </cell>
          <cell r="G28">
            <v>349110.4</v>
          </cell>
          <cell r="H28">
            <v>210140</v>
          </cell>
          <cell r="I28">
            <v>248339.99999999997</v>
          </cell>
          <cell r="J28">
            <v>268069.59999999998</v>
          </cell>
          <cell r="K28">
            <v>218476</v>
          </cell>
          <cell r="L28">
            <v>185553.59999999998</v>
          </cell>
          <cell r="M28">
            <v>202035.99999999997</v>
          </cell>
          <cell r="N28">
            <v>298508.79999999999</v>
          </cell>
          <cell r="O28">
            <v>343322.39999999997</v>
          </cell>
          <cell r="P28">
            <v>3250953.5999999996</v>
          </cell>
        </row>
        <row r="29">
          <cell r="B29" t="str">
            <v>Total-Cash Labor Hours</v>
          </cell>
          <cell r="C29" t="str">
            <v>Cash Labor Hours</v>
          </cell>
          <cell r="D29">
            <v>9458.18</v>
          </cell>
          <cell r="E29">
            <v>9791.51</v>
          </cell>
          <cell r="F29">
            <v>11093.85</v>
          </cell>
          <cell r="G29">
            <v>12388.23</v>
          </cell>
          <cell r="H29">
            <v>9148.0299999999988</v>
          </cell>
          <cell r="I29">
            <v>10632.670000000002</v>
          </cell>
          <cell r="J29">
            <v>10620.880000000001</v>
          </cell>
          <cell r="K29">
            <v>9016.52</v>
          </cell>
          <cell r="L29">
            <v>9874.9199999999983</v>
          </cell>
          <cell r="M29">
            <v>10209.68</v>
          </cell>
          <cell r="N29">
            <v>11937.799999999996</v>
          </cell>
          <cell r="O29">
            <v>12593.220000000001</v>
          </cell>
          <cell r="P29">
            <v>126765.48999999999</v>
          </cell>
        </row>
        <row r="30">
          <cell r="B30" t="str">
            <v>Total-Non-Cash Labor Hours</v>
          </cell>
          <cell r="C30" t="str">
            <v>Non-Cash Labor Hours</v>
          </cell>
          <cell r="D30">
            <v>5947.75</v>
          </cell>
          <cell r="E30">
            <v>5770.4800000000005</v>
          </cell>
          <cell r="F30">
            <v>9227.3700000000008</v>
          </cell>
          <cell r="G30">
            <v>8192.1200000000026</v>
          </cell>
          <cell r="H30">
            <v>5341.0099999999993</v>
          </cell>
          <cell r="I30">
            <v>6769.5700000000015</v>
          </cell>
          <cell r="J30">
            <v>6951.7499999999991</v>
          </cell>
          <cell r="K30">
            <v>5361.1900000000005</v>
          </cell>
          <cell r="L30">
            <v>5095.6200000000008</v>
          </cell>
          <cell r="M30">
            <v>4581.6399999999994</v>
          </cell>
          <cell r="N30">
            <v>6140.9600000000009</v>
          </cell>
          <cell r="O30">
            <v>6862.4400000000023</v>
          </cell>
          <cell r="P30">
            <v>76241.900000000009</v>
          </cell>
        </row>
        <row r="31">
          <cell r="B31" t="str">
            <v>Total-Total Cost</v>
          </cell>
          <cell r="C31" t="str">
            <v>Total Cost</v>
          </cell>
          <cell r="D31">
            <v>2116058.3663846152</v>
          </cell>
          <cell r="E31">
            <v>2291795.5057692304</v>
          </cell>
          <cell r="F31">
            <v>1527853.1363846154</v>
          </cell>
          <cell r="G31">
            <v>1532880.9563846153</v>
          </cell>
          <cell r="H31">
            <v>1452031.1863846155</v>
          </cell>
          <cell r="I31">
            <v>1678897.9563846155</v>
          </cell>
          <cell r="J31">
            <v>1704500.3363846154</v>
          </cell>
          <cell r="K31">
            <v>1668401.9463846153</v>
          </cell>
          <cell r="L31">
            <v>1560889.7763846153</v>
          </cell>
          <cell r="M31">
            <v>1797599.7263846155</v>
          </cell>
          <cell r="N31">
            <v>2197715.7063846155</v>
          </cell>
          <cell r="O31">
            <v>1859832.8863846154</v>
          </cell>
          <cell r="P31">
            <v>21388457.485999994</v>
          </cell>
        </row>
        <row r="32">
          <cell r="B32" t="str">
            <v>Total-Total Hours</v>
          </cell>
          <cell r="C32" t="str">
            <v>Total Hours</v>
          </cell>
          <cell r="D32">
            <v>15405.93</v>
          </cell>
          <cell r="E32">
            <v>15561.99</v>
          </cell>
          <cell r="F32">
            <v>20321.22</v>
          </cell>
          <cell r="G32">
            <v>20580.350000000002</v>
          </cell>
          <cell r="H32">
            <v>14489.039999999999</v>
          </cell>
          <cell r="I32">
            <v>17402.240000000005</v>
          </cell>
          <cell r="J32">
            <v>17572.629999999997</v>
          </cell>
          <cell r="K32">
            <v>14377.710000000001</v>
          </cell>
          <cell r="L32">
            <v>14970.54</v>
          </cell>
          <cell r="M32">
            <v>14791.32</v>
          </cell>
          <cell r="N32">
            <v>18078.759999999998</v>
          </cell>
          <cell r="O32">
            <v>19455.660000000003</v>
          </cell>
          <cell r="P32">
            <v>203007.39</v>
          </cell>
        </row>
        <row r="36">
          <cell r="B36" t="str">
            <v>FY13-Univ PBA</v>
          </cell>
          <cell r="C36" t="str">
            <v>Univ PBA</v>
          </cell>
          <cell r="D36">
            <v>0</v>
          </cell>
          <cell r="E36">
            <v>0</v>
          </cell>
          <cell r="F36">
            <v>0</v>
          </cell>
          <cell r="G36">
            <v>0</v>
          </cell>
          <cell r="H36">
            <v>0</v>
          </cell>
          <cell r="I36">
            <v>0</v>
          </cell>
          <cell r="J36">
            <v>0</v>
          </cell>
          <cell r="K36">
            <v>0</v>
          </cell>
          <cell r="L36">
            <v>0</v>
          </cell>
          <cell r="M36">
            <v>0</v>
          </cell>
          <cell r="N36">
            <v>0</v>
          </cell>
          <cell r="O36">
            <v>0</v>
          </cell>
          <cell r="P36">
            <v>0</v>
          </cell>
        </row>
        <row r="37">
          <cell r="B37" t="str">
            <v>FY13-Univ Cash</v>
          </cell>
          <cell r="C37" t="str">
            <v>Univ Cash</v>
          </cell>
          <cell r="D37">
            <v>0</v>
          </cell>
          <cell r="E37">
            <v>0</v>
          </cell>
          <cell r="F37">
            <v>0</v>
          </cell>
          <cell r="G37">
            <v>0</v>
          </cell>
          <cell r="H37">
            <v>0</v>
          </cell>
          <cell r="I37">
            <v>0</v>
          </cell>
          <cell r="J37">
            <v>0</v>
          </cell>
          <cell r="K37">
            <v>0</v>
          </cell>
          <cell r="L37">
            <v>0</v>
          </cell>
          <cell r="M37">
            <v>0</v>
          </cell>
          <cell r="N37">
            <v>0</v>
          </cell>
          <cell r="O37">
            <v>10000000</v>
          </cell>
          <cell r="P37">
            <v>10000000</v>
          </cell>
        </row>
        <row r="38">
          <cell r="B38" t="str">
            <v>FY13-CIO PBA</v>
          </cell>
          <cell r="C38" t="str">
            <v>CIO PBA</v>
          </cell>
          <cell r="D38">
            <v>0</v>
          </cell>
          <cell r="E38">
            <v>0</v>
          </cell>
          <cell r="F38">
            <v>0</v>
          </cell>
          <cell r="G38">
            <v>0</v>
          </cell>
          <cell r="H38">
            <v>0</v>
          </cell>
          <cell r="I38">
            <v>0</v>
          </cell>
          <cell r="J38">
            <v>0</v>
          </cell>
          <cell r="K38">
            <v>0</v>
          </cell>
          <cell r="L38">
            <v>0</v>
          </cell>
          <cell r="M38">
            <v>0</v>
          </cell>
          <cell r="N38">
            <v>0</v>
          </cell>
          <cell r="O38">
            <v>0</v>
          </cell>
          <cell r="P38">
            <v>0</v>
          </cell>
        </row>
        <row r="39">
          <cell r="B39" t="str">
            <v>FY13-CIO Cash</v>
          </cell>
          <cell r="C39" t="str">
            <v>CIO Cash</v>
          </cell>
          <cell r="D39">
            <v>0</v>
          </cell>
          <cell r="E39">
            <v>0</v>
          </cell>
          <cell r="F39">
            <v>0</v>
          </cell>
          <cell r="G39">
            <v>0</v>
          </cell>
          <cell r="H39">
            <v>0</v>
          </cell>
          <cell r="I39">
            <v>0</v>
          </cell>
          <cell r="J39">
            <v>0</v>
          </cell>
          <cell r="K39">
            <v>0</v>
          </cell>
          <cell r="L39">
            <v>0</v>
          </cell>
          <cell r="M39">
            <v>0</v>
          </cell>
          <cell r="N39">
            <v>0</v>
          </cell>
          <cell r="O39">
            <v>0</v>
          </cell>
          <cell r="P39">
            <v>0</v>
          </cell>
        </row>
        <row r="40">
          <cell r="B40" t="str">
            <v>FY13-Other Cash</v>
          </cell>
          <cell r="C40" t="str">
            <v>Other Cash</v>
          </cell>
          <cell r="D40">
            <v>0</v>
          </cell>
          <cell r="E40">
            <v>0</v>
          </cell>
          <cell r="F40">
            <v>0</v>
          </cell>
          <cell r="G40">
            <v>0</v>
          </cell>
          <cell r="H40">
            <v>0</v>
          </cell>
          <cell r="I40">
            <v>0</v>
          </cell>
          <cell r="J40">
            <v>0</v>
          </cell>
          <cell r="K40">
            <v>0</v>
          </cell>
          <cell r="L40">
            <v>0</v>
          </cell>
          <cell r="M40">
            <v>0</v>
          </cell>
          <cell r="N40">
            <v>0</v>
          </cell>
          <cell r="O40">
            <v>0</v>
          </cell>
          <cell r="P40">
            <v>0</v>
          </cell>
        </row>
        <row r="41">
          <cell r="B41" t="str">
            <v>FY13-Donated Resources</v>
          </cell>
          <cell r="C41" t="str">
            <v>Donated Resources</v>
          </cell>
          <cell r="D41">
            <v>30280</v>
          </cell>
          <cell r="E41">
            <v>62118.400000000001</v>
          </cell>
          <cell r="F41">
            <v>77900</v>
          </cell>
          <cell r="G41">
            <v>117560</v>
          </cell>
          <cell r="H41">
            <v>58880</v>
          </cell>
          <cell r="I41">
            <v>60078.400000000001</v>
          </cell>
          <cell r="J41">
            <v>80980</v>
          </cell>
          <cell r="K41">
            <v>84080</v>
          </cell>
          <cell r="L41">
            <v>83333.333333333328</v>
          </cell>
          <cell r="M41">
            <v>83333.333333333328</v>
          </cell>
          <cell r="N41">
            <v>83333.333333333328</v>
          </cell>
          <cell r="O41">
            <v>83333.333333333328</v>
          </cell>
          <cell r="P41">
            <v>905210.13333333354</v>
          </cell>
        </row>
        <row r="42">
          <cell r="B42" t="str">
            <v>FY13-Other non-Cash</v>
          </cell>
          <cell r="C42" t="str">
            <v>Other non-Cash</v>
          </cell>
          <cell r="D42">
            <v>0</v>
          </cell>
          <cell r="E42">
            <v>0</v>
          </cell>
          <cell r="F42">
            <v>0</v>
          </cell>
          <cell r="G42">
            <v>0</v>
          </cell>
          <cell r="H42">
            <v>0</v>
          </cell>
          <cell r="I42">
            <v>0</v>
          </cell>
          <cell r="J42">
            <v>0</v>
          </cell>
          <cell r="K42">
            <v>0</v>
          </cell>
          <cell r="L42">
            <v>0</v>
          </cell>
          <cell r="M42">
            <v>0</v>
          </cell>
          <cell r="N42">
            <v>0</v>
          </cell>
          <cell r="O42">
            <v>0</v>
          </cell>
          <cell r="P42">
            <v>0</v>
          </cell>
        </row>
        <row r="43">
          <cell r="B43" t="str">
            <v>FY13-Total Cash-Based</v>
          </cell>
          <cell r="C43" t="str">
            <v>Total Cash-Based</v>
          </cell>
          <cell r="D43">
            <v>0</v>
          </cell>
          <cell r="E43">
            <v>0</v>
          </cell>
          <cell r="F43">
            <v>0</v>
          </cell>
          <cell r="G43">
            <v>0</v>
          </cell>
          <cell r="H43">
            <v>0</v>
          </cell>
          <cell r="I43">
            <v>0</v>
          </cell>
          <cell r="J43">
            <v>0</v>
          </cell>
          <cell r="K43">
            <v>0</v>
          </cell>
          <cell r="L43">
            <v>0</v>
          </cell>
          <cell r="M43">
            <v>0</v>
          </cell>
          <cell r="N43">
            <v>0</v>
          </cell>
          <cell r="O43">
            <v>10000000</v>
          </cell>
          <cell r="P43">
            <v>10000000</v>
          </cell>
        </row>
        <row r="44">
          <cell r="B44" t="str">
            <v>FY13-Total non-Cash Based</v>
          </cell>
          <cell r="C44" t="str">
            <v>Total non-Cash Based</v>
          </cell>
          <cell r="D44">
            <v>30280</v>
          </cell>
          <cell r="E44">
            <v>62118.400000000001</v>
          </cell>
          <cell r="F44">
            <v>77900</v>
          </cell>
          <cell r="G44">
            <v>117560</v>
          </cell>
          <cell r="H44">
            <v>58880</v>
          </cell>
          <cell r="I44">
            <v>60078.400000000001</v>
          </cell>
          <cell r="J44">
            <v>80980</v>
          </cell>
          <cell r="K44">
            <v>84080</v>
          </cell>
          <cell r="L44">
            <v>83333.333333333328</v>
          </cell>
          <cell r="M44">
            <v>83333.333333333328</v>
          </cell>
          <cell r="N44">
            <v>83333.333333333328</v>
          </cell>
          <cell r="O44">
            <v>83333.333333333328</v>
          </cell>
          <cell r="P44">
            <v>905210.13333333354</v>
          </cell>
        </row>
        <row r="45">
          <cell r="B45" t="str">
            <v>FY13-Grand total</v>
          </cell>
          <cell r="C45" t="str">
            <v>Grand total</v>
          </cell>
          <cell r="D45">
            <v>30280</v>
          </cell>
          <cell r="E45">
            <v>62118.400000000001</v>
          </cell>
          <cell r="F45">
            <v>77900</v>
          </cell>
          <cell r="G45">
            <v>117560</v>
          </cell>
          <cell r="H45">
            <v>58880</v>
          </cell>
          <cell r="I45">
            <v>60078.400000000001</v>
          </cell>
          <cell r="J45">
            <v>80980</v>
          </cell>
          <cell r="K45">
            <v>84080</v>
          </cell>
          <cell r="L45">
            <v>83333.333333333328</v>
          </cell>
          <cell r="M45">
            <v>83333.333333333328</v>
          </cell>
          <cell r="N45">
            <v>83333.333333333328</v>
          </cell>
          <cell r="O45">
            <v>10083333.333333334</v>
          </cell>
          <cell r="P45">
            <v>10905210.133333333</v>
          </cell>
        </row>
        <row r="46">
          <cell r="B46" t="str">
            <v>FY14-Univ PBA</v>
          </cell>
          <cell r="C46" t="str">
            <v>Univ PBA</v>
          </cell>
          <cell r="D46">
            <v>0</v>
          </cell>
          <cell r="E46">
            <v>0</v>
          </cell>
          <cell r="F46">
            <v>0</v>
          </cell>
          <cell r="G46">
            <v>0</v>
          </cell>
          <cell r="H46">
            <v>0</v>
          </cell>
          <cell r="I46">
            <v>0</v>
          </cell>
          <cell r="J46">
            <v>0</v>
          </cell>
          <cell r="K46">
            <v>0</v>
          </cell>
          <cell r="L46">
            <v>0</v>
          </cell>
          <cell r="M46">
            <v>0</v>
          </cell>
          <cell r="N46">
            <v>0</v>
          </cell>
          <cell r="O46">
            <v>0</v>
          </cell>
          <cell r="P46">
            <v>0</v>
          </cell>
        </row>
        <row r="47">
          <cell r="B47" t="str">
            <v>FY14-Univ Cash</v>
          </cell>
          <cell r="C47" t="str">
            <v>Univ Cash</v>
          </cell>
          <cell r="D47">
            <v>0</v>
          </cell>
          <cell r="E47">
            <v>0</v>
          </cell>
          <cell r="F47">
            <v>0</v>
          </cell>
          <cell r="G47">
            <v>0</v>
          </cell>
          <cell r="H47">
            <v>0</v>
          </cell>
          <cell r="I47">
            <v>0</v>
          </cell>
          <cell r="J47">
            <v>0</v>
          </cell>
          <cell r="K47">
            <v>0</v>
          </cell>
          <cell r="L47">
            <v>0</v>
          </cell>
          <cell r="M47">
            <v>0</v>
          </cell>
          <cell r="N47">
            <v>0</v>
          </cell>
          <cell r="O47">
            <v>8500000</v>
          </cell>
          <cell r="P47">
            <v>8500000</v>
          </cell>
        </row>
        <row r="48">
          <cell r="B48" t="str">
            <v>FY14-CIO PBA</v>
          </cell>
          <cell r="C48" t="str">
            <v>CIO PBA</v>
          </cell>
          <cell r="D48">
            <v>0</v>
          </cell>
          <cell r="E48">
            <v>0</v>
          </cell>
          <cell r="F48">
            <v>0</v>
          </cell>
          <cell r="G48">
            <v>0</v>
          </cell>
          <cell r="H48">
            <v>0</v>
          </cell>
          <cell r="I48">
            <v>0</v>
          </cell>
          <cell r="J48">
            <v>0</v>
          </cell>
          <cell r="K48">
            <v>0</v>
          </cell>
          <cell r="L48">
            <v>0</v>
          </cell>
          <cell r="M48">
            <v>0</v>
          </cell>
          <cell r="N48">
            <v>0</v>
          </cell>
          <cell r="O48">
            <v>0</v>
          </cell>
          <cell r="P48">
            <v>0</v>
          </cell>
        </row>
        <row r="49">
          <cell r="B49" t="str">
            <v>FY14-CIO Cash</v>
          </cell>
          <cell r="C49" t="str">
            <v>CIO Cash</v>
          </cell>
          <cell r="D49">
            <v>0</v>
          </cell>
          <cell r="E49">
            <v>0</v>
          </cell>
          <cell r="F49">
            <v>0</v>
          </cell>
          <cell r="G49">
            <v>0</v>
          </cell>
          <cell r="H49">
            <v>0</v>
          </cell>
          <cell r="I49">
            <v>0</v>
          </cell>
          <cell r="J49">
            <v>0</v>
          </cell>
          <cell r="K49">
            <v>0</v>
          </cell>
          <cell r="L49">
            <v>0</v>
          </cell>
          <cell r="M49">
            <v>0</v>
          </cell>
          <cell r="N49">
            <v>0</v>
          </cell>
          <cell r="O49">
            <v>0</v>
          </cell>
          <cell r="P49">
            <v>0</v>
          </cell>
        </row>
        <row r="50">
          <cell r="B50" t="str">
            <v>FY14-Other Cash</v>
          </cell>
          <cell r="C50" t="str">
            <v>Other Cash</v>
          </cell>
          <cell r="D50">
            <v>0</v>
          </cell>
          <cell r="E50">
            <v>0</v>
          </cell>
          <cell r="F50">
            <v>0</v>
          </cell>
          <cell r="G50">
            <v>0</v>
          </cell>
          <cell r="H50">
            <v>0</v>
          </cell>
          <cell r="I50">
            <v>0</v>
          </cell>
          <cell r="J50">
            <v>0</v>
          </cell>
          <cell r="K50">
            <v>0</v>
          </cell>
          <cell r="L50">
            <v>0</v>
          </cell>
          <cell r="M50">
            <v>0</v>
          </cell>
          <cell r="N50">
            <v>0</v>
          </cell>
          <cell r="O50">
            <v>0</v>
          </cell>
          <cell r="P50">
            <v>0</v>
          </cell>
        </row>
        <row r="51">
          <cell r="B51" t="str">
            <v>FY14-Donated Resources</v>
          </cell>
          <cell r="C51" t="str">
            <v>Donated Resources</v>
          </cell>
          <cell r="D51">
            <v>250000</v>
          </cell>
          <cell r="E51">
            <v>250000</v>
          </cell>
          <cell r="F51">
            <v>250000</v>
          </cell>
          <cell r="G51">
            <v>250000</v>
          </cell>
          <cell r="H51">
            <v>250000</v>
          </cell>
          <cell r="I51">
            <v>250000</v>
          </cell>
          <cell r="J51">
            <v>250000</v>
          </cell>
          <cell r="K51">
            <v>250000</v>
          </cell>
          <cell r="L51">
            <v>250000</v>
          </cell>
          <cell r="M51">
            <v>250000</v>
          </cell>
          <cell r="N51">
            <v>250000</v>
          </cell>
          <cell r="O51">
            <v>250000</v>
          </cell>
          <cell r="P51">
            <v>3000000</v>
          </cell>
        </row>
        <row r="52">
          <cell r="B52" t="str">
            <v>FY14-Other non-Cash</v>
          </cell>
          <cell r="C52" t="str">
            <v>Other non-Cash</v>
          </cell>
          <cell r="D52">
            <v>0</v>
          </cell>
          <cell r="E52">
            <v>0</v>
          </cell>
          <cell r="F52">
            <v>0</v>
          </cell>
          <cell r="G52">
            <v>0</v>
          </cell>
          <cell r="H52">
            <v>0</v>
          </cell>
          <cell r="I52">
            <v>0</v>
          </cell>
          <cell r="J52">
            <v>0</v>
          </cell>
          <cell r="K52">
            <v>0</v>
          </cell>
          <cell r="L52">
            <v>0</v>
          </cell>
          <cell r="M52">
            <v>0</v>
          </cell>
          <cell r="N52">
            <v>0</v>
          </cell>
          <cell r="O52">
            <v>0</v>
          </cell>
          <cell r="P52">
            <v>0</v>
          </cell>
        </row>
        <row r="53">
          <cell r="B53" t="str">
            <v>FY14-Total Cash-Based</v>
          </cell>
          <cell r="C53" t="str">
            <v>Total Cash-Based</v>
          </cell>
          <cell r="D53">
            <v>0</v>
          </cell>
          <cell r="E53">
            <v>0</v>
          </cell>
          <cell r="F53">
            <v>0</v>
          </cell>
          <cell r="G53">
            <v>0</v>
          </cell>
          <cell r="H53">
            <v>0</v>
          </cell>
          <cell r="I53">
            <v>0</v>
          </cell>
          <cell r="J53">
            <v>0</v>
          </cell>
          <cell r="K53">
            <v>0</v>
          </cell>
          <cell r="L53">
            <v>0</v>
          </cell>
          <cell r="M53">
            <v>0</v>
          </cell>
          <cell r="N53">
            <v>0</v>
          </cell>
          <cell r="O53">
            <v>8500000</v>
          </cell>
          <cell r="P53">
            <v>8500000</v>
          </cell>
        </row>
        <row r="54">
          <cell r="B54" t="str">
            <v>FY14-Total non-Cash Based</v>
          </cell>
          <cell r="C54" t="str">
            <v>Total non-Cash Based</v>
          </cell>
          <cell r="D54">
            <v>250000</v>
          </cell>
          <cell r="E54">
            <v>250000</v>
          </cell>
          <cell r="F54">
            <v>250000</v>
          </cell>
          <cell r="G54">
            <v>250000</v>
          </cell>
          <cell r="H54">
            <v>250000</v>
          </cell>
          <cell r="I54">
            <v>250000</v>
          </cell>
          <cell r="J54">
            <v>250000</v>
          </cell>
          <cell r="K54">
            <v>250000</v>
          </cell>
          <cell r="L54">
            <v>250000</v>
          </cell>
          <cell r="M54">
            <v>250000</v>
          </cell>
          <cell r="N54">
            <v>250000</v>
          </cell>
          <cell r="O54">
            <v>250000</v>
          </cell>
          <cell r="P54">
            <v>3000000</v>
          </cell>
        </row>
        <row r="55">
          <cell r="B55" t="str">
            <v>FY14-Grand total</v>
          </cell>
          <cell r="C55" t="str">
            <v>Grand total</v>
          </cell>
          <cell r="D55">
            <v>250000</v>
          </cell>
          <cell r="E55">
            <v>250000</v>
          </cell>
          <cell r="F55">
            <v>250000</v>
          </cell>
          <cell r="G55">
            <v>250000</v>
          </cell>
          <cell r="H55">
            <v>250000</v>
          </cell>
          <cell r="I55">
            <v>250000</v>
          </cell>
          <cell r="J55">
            <v>250000</v>
          </cell>
          <cell r="K55">
            <v>250000</v>
          </cell>
          <cell r="L55">
            <v>250000</v>
          </cell>
          <cell r="M55">
            <v>250000</v>
          </cell>
          <cell r="N55">
            <v>250000</v>
          </cell>
          <cell r="O55">
            <v>8750000</v>
          </cell>
          <cell r="P55">
            <v>11500000</v>
          </cell>
        </row>
        <row r="56">
          <cell r="B56" t="str">
            <v>FY15-Univ PBA</v>
          </cell>
          <cell r="C56" t="str">
            <v>Univ PBA</v>
          </cell>
          <cell r="D56">
            <v>0</v>
          </cell>
          <cell r="E56">
            <v>0</v>
          </cell>
          <cell r="F56">
            <v>0</v>
          </cell>
          <cell r="G56">
            <v>0</v>
          </cell>
          <cell r="H56">
            <v>0</v>
          </cell>
          <cell r="I56">
            <v>0</v>
          </cell>
          <cell r="J56">
            <v>0</v>
          </cell>
          <cell r="K56">
            <v>0</v>
          </cell>
          <cell r="L56">
            <v>0</v>
          </cell>
          <cell r="M56">
            <v>0</v>
          </cell>
          <cell r="N56">
            <v>0</v>
          </cell>
          <cell r="O56">
            <v>0</v>
          </cell>
          <cell r="P56">
            <v>0</v>
          </cell>
        </row>
        <row r="57">
          <cell r="B57" t="str">
            <v>FY15-Univ Cash</v>
          </cell>
          <cell r="C57" t="str">
            <v>Univ Cash</v>
          </cell>
          <cell r="D57">
            <v>0</v>
          </cell>
          <cell r="E57">
            <v>0</v>
          </cell>
          <cell r="F57">
            <v>0</v>
          </cell>
          <cell r="G57">
            <v>0</v>
          </cell>
          <cell r="H57">
            <v>0</v>
          </cell>
          <cell r="I57">
            <v>0</v>
          </cell>
          <cell r="J57">
            <v>0</v>
          </cell>
          <cell r="K57">
            <v>0</v>
          </cell>
          <cell r="L57">
            <v>0</v>
          </cell>
          <cell r="M57">
            <v>0</v>
          </cell>
          <cell r="N57">
            <v>0</v>
          </cell>
          <cell r="O57">
            <v>0</v>
          </cell>
          <cell r="P57">
            <v>0</v>
          </cell>
        </row>
        <row r="58">
          <cell r="B58" t="str">
            <v>FY15-CIO PBA</v>
          </cell>
          <cell r="C58" t="str">
            <v>CIO PBA</v>
          </cell>
          <cell r="D58">
            <v>0</v>
          </cell>
          <cell r="E58">
            <v>0</v>
          </cell>
          <cell r="F58">
            <v>0</v>
          </cell>
          <cell r="G58">
            <v>0</v>
          </cell>
          <cell r="H58">
            <v>0</v>
          </cell>
          <cell r="I58">
            <v>0</v>
          </cell>
          <cell r="J58">
            <v>0</v>
          </cell>
          <cell r="K58">
            <v>0</v>
          </cell>
          <cell r="L58">
            <v>0</v>
          </cell>
          <cell r="M58">
            <v>0</v>
          </cell>
          <cell r="N58">
            <v>0</v>
          </cell>
          <cell r="O58">
            <v>0</v>
          </cell>
          <cell r="P58">
            <v>0</v>
          </cell>
        </row>
        <row r="59">
          <cell r="B59" t="str">
            <v>FY15-CIO Cash</v>
          </cell>
          <cell r="C59" t="str">
            <v>CIO Cash</v>
          </cell>
          <cell r="D59">
            <v>0</v>
          </cell>
          <cell r="E59">
            <v>0</v>
          </cell>
          <cell r="F59">
            <v>0</v>
          </cell>
          <cell r="G59">
            <v>0</v>
          </cell>
          <cell r="H59">
            <v>0</v>
          </cell>
          <cell r="I59">
            <v>0</v>
          </cell>
          <cell r="J59">
            <v>0</v>
          </cell>
          <cell r="K59">
            <v>0</v>
          </cell>
          <cell r="L59">
            <v>0</v>
          </cell>
          <cell r="M59">
            <v>0</v>
          </cell>
          <cell r="N59">
            <v>0</v>
          </cell>
          <cell r="O59">
            <v>0</v>
          </cell>
          <cell r="P59">
            <v>0</v>
          </cell>
        </row>
        <row r="60">
          <cell r="B60" t="str">
            <v>FY15-Other Cash</v>
          </cell>
          <cell r="C60" t="str">
            <v>Other Cash</v>
          </cell>
          <cell r="D60">
            <v>0</v>
          </cell>
          <cell r="E60">
            <v>0</v>
          </cell>
          <cell r="F60">
            <v>0</v>
          </cell>
          <cell r="G60">
            <v>0</v>
          </cell>
          <cell r="H60">
            <v>0</v>
          </cell>
          <cell r="I60">
            <v>0</v>
          </cell>
          <cell r="J60">
            <v>0</v>
          </cell>
          <cell r="K60">
            <v>0</v>
          </cell>
          <cell r="L60">
            <v>0</v>
          </cell>
          <cell r="M60">
            <v>0</v>
          </cell>
          <cell r="N60">
            <v>0</v>
          </cell>
          <cell r="O60">
            <v>0</v>
          </cell>
          <cell r="P60">
            <v>0</v>
          </cell>
        </row>
        <row r="61">
          <cell r="B61" t="str">
            <v>FY15-Donated Resources</v>
          </cell>
          <cell r="C61" t="str">
            <v>Donated Resources</v>
          </cell>
          <cell r="D61">
            <v>0</v>
          </cell>
          <cell r="E61">
            <v>0</v>
          </cell>
          <cell r="F61">
            <v>0</v>
          </cell>
          <cell r="G61">
            <v>0</v>
          </cell>
          <cell r="H61">
            <v>0</v>
          </cell>
          <cell r="I61">
            <v>0</v>
          </cell>
          <cell r="J61">
            <v>0</v>
          </cell>
          <cell r="K61">
            <v>0</v>
          </cell>
          <cell r="L61">
            <v>0</v>
          </cell>
          <cell r="M61">
            <v>0</v>
          </cell>
          <cell r="N61">
            <v>0</v>
          </cell>
          <cell r="O61">
            <v>0</v>
          </cell>
          <cell r="P61">
            <v>0</v>
          </cell>
        </row>
        <row r="62">
          <cell r="B62" t="str">
            <v>FY15-Other non-Cash</v>
          </cell>
          <cell r="C62" t="str">
            <v>Other non-Cash</v>
          </cell>
          <cell r="D62">
            <v>0</v>
          </cell>
          <cell r="E62">
            <v>0</v>
          </cell>
          <cell r="F62">
            <v>0</v>
          </cell>
          <cell r="G62">
            <v>0</v>
          </cell>
          <cell r="H62">
            <v>0</v>
          </cell>
          <cell r="I62">
            <v>0</v>
          </cell>
          <cell r="J62">
            <v>0</v>
          </cell>
          <cell r="K62">
            <v>0</v>
          </cell>
          <cell r="L62">
            <v>0</v>
          </cell>
          <cell r="M62">
            <v>0</v>
          </cell>
          <cell r="N62">
            <v>0</v>
          </cell>
          <cell r="O62">
            <v>0</v>
          </cell>
          <cell r="P62">
            <v>0</v>
          </cell>
        </row>
        <row r="63">
          <cell r="B63" t="str">
            <v>FY15-Total Cash-Based</v>
          </cell>
          <cell r="C63" t="str">
            <v>Total Cash-Based</v>
          </cell>
          <cell r="D63">
            <v>0</v>
          </cell>
          <cell r="E63">
            <v>0</v>
          </cell>
          <cell r="F63">
            <v>0</v>
          </cell>
          <cell r="G63">
            <v>0</v>
          </cell>
          <cell r="H63">
            <v>0</v>
          </cell>
          <cell r="I63">
            <v>0</v>
          </cell>
          <cell r="J63">
            <v>0</v>
          </cell>
          <cell r="K63">
            <v>0</v>
          </cell>
          <cell r="L63">
            <v>0</v>
          </cell>
          <cell r="M63">
            <v>0</v>
          </cell>
          <cell r="N63">
            <v>0</v>
          </cell>
          <cell r="O63">
            <v>0</v>
          </cell>
          <cell r="P63">
            <v>0</v>
          </cell>
        </row>
        <row r="64">
          <cell r="B64" t="str">
            <v>FY15-Total non-Cash Based</v>
          </cell>
          <cell r="C64" t="str">
            <v>Total non-Cash Based</v>
          </cell>
          <cell r="D64">
            <v>0</v>
          </cell>
          <cell r="E64">
            <v>0</v>
          </cell>
          <cell r="F64">
            <v>0</v>
          </cell>
          <cell r="G64">
            <v>0</v>
          </cell>
          <cell r="H64">
            <v>0</v>
          </cell>
          <cell r="I64">
            <v>0</v>
          </cell>
          <cell r="J64">
            <v>0</v>
          </cell>
          <cell r="K64">
            <v>0</v>
          </cell>
          <cell r="L64">
            <v>0</v>
          </cell>
          <cell r="M64">
            <v>0</v>
          </cell>
          <cell r="N64">
            <v>0</v>
          </cell>
          <cell r="O64">
            <v>0</v>
          </cell>
          <cell r="P64">
            <v>0</v>
          </cell>
        </row>
        <row r="65">
          <cell r="B65" t="str">
            <v>FY15-Grand total</v>
          </cell>
          <cell r="C65" t="str">
            <v>Grand total</v>
          </cell>
          <cell r="D65">
            <v>0</v>
          </cell>
          <cell r="E65">
            <v>0</v>
          </cell>
          <cell r="F65">
            <v>0</v>
          </cell>
          <cell r="G65">
            <v>0</v>
          </cell>
          <cell r="H65">
            <v>0</v>
          </cell>
          <cell r="I65">
            <v>0</v>
          </cell>
          <cell r="J65">
            <v>0</v>
          </cell>
          <cell r="K65">
            <v>0</v>
          </cell>
          <cell r="L65">
            <v>0</v>
          </cell>
          <cell r="M65">
            <v>0</v>
          </cell>
          <cell r="N65">
            <v>0</v>
          </cell>
          <cell r="O65">
            <v>0</v>
          </cell>
          <cell r="P65">
            <v>0</v>
          </cell>
        </row>
        <row r="67">
          <cell r="B67" t="str">
            <v>Total-Univ PBA</v>
          </cell>
          <cell r="C67" t="str">
            <v>Univ PBA</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Total-Univ Cash</v>
          </cell>
          <cell r="C68" t="str">
            <v>Univ Cash</v>
          </cell>
          <cell r="D68">
            <v>0</v>
          </cell>
          <cell r="E68">
            <v>0</v>
          </cell>
          <cell r="F68">
            <v>0</v>
          </cell>
          <cell r="G68">
            <v>0</v>
          </cell>
          <cell r="H68">
            <v>0</v>
          </cell>
          <cell r="I68">
            <v>0</v>
          </cell>
          <cell r="J68">
            <v>0</v>
          </cell>
          <cell r="K68">
            <v>0</v>
          </cell>
          <cell r="L68">
            <v>0</v>
          </cell>
          <cell r="M68">
            <v>0</v>
          </cell>
          <cell r="N68">
            <v>0</v>
          </cell>
          <cell r="O68">
            <v>18500000</v>
          </cell>
          <cell r="P68">
            <v>18500000</v>
          </cell>
        </row>
        <row r="69">
          <cell r="B69" t="str">
            <v>Total-CIO PBA</v>
          </cell>
          <cell r="C69" t="str">
            <v>CIO PBA</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Total-CIO Cash</v>
          </cell>
          <cell r="C70" t="str">
            <v>CIO Cash</v>
          </cell>
          <cell r="D70">
            <v>0</v>
          </cell>
          <cell r="E70">
            <v>0</v>
          </cell>
          <cell r="F70">
            <v>0</v>
          </cell>
          <cell r="G70">
            <v>0</v>
          </cell>
          <cell r="H70">
            <v>0</v>
          </cell>
          <cell r="I70">
            <v>0</v>
          </cell>
          <cell r="J70">
            <v>0</v>
          </cell>
          <cell r="K70">
            <v>0</v>
          </cell>
          <cell r="L70">
            <v>0</v>
          </cell>
          <cell r="M70">
            <v>0</v>
          </cell>
          <cell r="N70">
            <v>0</v>
          </cell>
          <cell r="O70">
            <v>0</v>
          </cell>
          <cell r="P70">
            <v>0</v>
          </cell>
        </row>
        <row r="71">
          <cell r="B71" t="str">
            <v>Total-Other Cash</v>
          </cell>
          <cell r="C71" t="str">
            <v>Other Cash</v>
          </cell>
          <cell r="D71">
            <v>0</v>
          </cell>
          <cell r="E71">
            <v>0</v>
          </cell>
          <cell r="F71">
            <v>0</v>
          </cell>
          <cell r="G71">
            <v>0</v>
          </cell>
          <cell r="H71">
            <v>0</v>
          </cell>
          <cell r="I71">
            <v>0</v>
          </cell>
          <cell r="J71">
            <v>0</v>
          </cell>
          <cell r="K71">
            <v>0</v>
          </cell>
          <cell r="L71">
            <v>0</v>
          </cell>
          <cell r="M71">
            <v>0</v>
          </cell>
          <cell r="N71">
            <v>0</v>
          </cell>
          <cell r="O71">
            <v>0</v>
          </cell>
          <cell r="P71">
            <v>0</v>
          </cell>
        </row>
        <row r="72">
          <cell r="B72" t="str">
            <v>Total-Donated Resources</v>
          </cell>
          <cell r="C72" t="str">
            <v>Donated Resources</v>
          </cell>
          <cell r="D72">
            <v>280280</v>
          </cell>
          <cell r="E72">
            <v>312118.40000000002</v>
          </cell>
          <cell r="F72">
            <v>327900</v>
          </cell>
          <cell r="G72">
            <v>367560</v>
          </cell>
          <cell r="H72">
            <v>308880</v>
          </cell>
          <cell r="I72">
            <v>310078.40000000002</v>
          </cell>
          <cell r="J72">
            <v>330980</v>
          </cell>
          <cell r="K72">
            <v>334080</v>
          </cell>
          <cell r="L72">
            <v>333333.33333333331</v>
          </cell>
          <cell r="M72">
            <v>333333.33333333331</v>
          </cell>
          <cell r="N72">
            <v>333333.33333333331</v>
          </cell>
          <cell r="O72">
            <v>333333.33333333331</v>
          </cell>
          <cell r="P72">
            <v>3905210.1333333338</v>
          </cell>
        </row>
        <row r="73">
          <cell r="B73" t="str">
            <v>Total-Other non-Cash</v>
          </cell>
          <cell r="C73" t="str">
            <v>Other non-Cash</v>
          </cell>
          <cell r="D73">
            <v>0</v>
          </cell>
          <cell r="E73">
            <v>0</v>
          </cell>
          <cell r="F73">
            <v>0</v>
          </cell>
          <cell r="G73">
            <v>0</v>
          </cell>
          <cell r="H73">
            <v>0</v>
          </cell>
          <cell r="I73">
            <v>0</v>
          </cell>
          <cell r="J73">
            <v>0</v>
          </cell>
          <cell r="K73">
            <v>0</v>
          </cell>
          <cell r="L73">
            <v>0</v>
          </cell>
          <cell r="M73">
            <v>0</v>
          </cell>
          <cell r="N73">
            <v>0</v>
          </cell>
          <cell r="O73">
            <v>0</v>
          </cell>
          <cell r="P73">
            <v>0</v>
          </cell>
        </row>
        <row r="74">
          <cell r="B74" t="str">
            <v>Total-Total Cash-Based</v>
          </cell>
          <cell r="C74" t="str">
            <v>Total Cash-Based</v>
          </cell>
          <cell r="D74">
            <v>0</v>
          </cell>
          <cell r="E74">
            <v>0</v>
          </cell>
          <cell r="F74">
            <v>0</v>
          </cell>
          <cell r="G74">
            <v>0</v>
          </cell>
          <cell r="H74">
            <v>0</v>
          </cell>
          <cell r="I74">
            <v>0</v>
          </cell>
          <cell r="J74">
            <v>0</v>
          </cell>
          <cell r="K74">
            <v>0</v>
          </cell>
          <cell r="L74">
            <v>0</v>
          </cell>
          <cell r="M74">
            <v>0</v>
          </cell>
          <cell r="N74">
            <v>0</v>
          </cell>
          <cell r="O74">
            <v>18500000</v>
          </cell>
          <cell r="P74">
            <v>18500000</v>
          </cell>
        </row>
        <row r="75">
          <cell r="B75" t="str">
            <v>Total-Total non-Cash Based</v>
          </cell>
          <cell r="C75" t="str">
            <v>Total non-Cash Based</v>
          </cell>
          <cell r="D75">
            <v>280280</v>
          </cell>
          <cell r="E75">
            <v>312118.40000000002</v>
          </cell>
          <cell r="F75">
            <v>327900</v>
          </cell>
          <cell r="G75">
            <v>367560</v>
          </cell>
          <cell r="H75">
            <v>308880</v>
          </cell>
          <cell r="I75">
            <v>310078.40000000002</v>
          </cell>
          <cell r="J75">
            <v>330980</v>
          </cell>
          <cell r="K75">
            <v>334080</v>
          </cell>
          <cell r="L75">
            <v>333333.33333333331</v>
          </cell>
          <cell r="M75">
            <v>333333.33333333331</v>
          </cell>
          <cell r="N75">
            <v>333333.33333333331</v>
          </cell>
          <cell r="O75">
            <v>333333.33333333331</v>
          </cell>
          <cell r="P75">
            <v>3905210.1333333338</v>
          </cell>
        </row>
        <row r="76">
          <cell r="B76" t="str">
            <v>Total-Grand total</v>
          </cell>
          <cell r="C76" t="str">
            <v>Grand total</v>
          </cell>
          <cell r="D76">
            <v>280280</v>
          </cell>
          <cell r="E76">
            <v>312118.40000000002</v>
          </cell>
          <cell r="F76">
            <v>327900</v>
          </cell>
          <cell r="G76">
            <v>367560</v>
          </cell>
          <cell r="H76">
            <v>308880</v>
          </cell>
          <cell r="I76">
            <v>310078.40000000002</v>
          </cell>
          <cell r="J76">
            <v>330980</v>
          </cell>
          <cell r="K76">
            <v>334080</v>
          </cell>
          <cell r="L76">
            <v>333333.33333333331</v>
          </cell>
          <cell r="M76">
            <v>333333.33333333331</v>
          </cell>
          <cell r="N76">
            <v>333333.33333333331</v>
          </cell>
          <cell r="O76">
            <v>18833333.333333332</v>
          </cell>
          <cell r="P76">
            <v>22405210.133333333</v>
          </cell>
        </row>
      </sheetData>
      <sheetData sheetId="14" refreshError="1"/>
      <sheetData sheetId="15" refreshError="1"/>
      <sheetData sheetId="16" refreshError="1">
        <row r="2">
          <cell r="F2">
            <v>25</v>
          </cell>
          <cell r="G2">
            <v>24</v>
          </cell>
        </row>
        <row r="5">
          <cell r="F5">
            <v>41851</v>
          </cell>
          <cell r="I5" t="str">
            <v>FY13</v>
          </cell>
        </row>
        <row r="11">
          <cell r="F11" t="str">
            <v>FY13-Non-Labor Cost</v>
          </cell>
        </row>
        <row r="12">
          <cell r="F12" t="str">
            <v>FY13-Cash Labor Costs</v>
          </cell>
        </row>
        <row r="13">
          <cell r="F13" t="str">
            <v>FY13-Non-Cash Labor Costs</v>
          </cell>
        </row>
        <row r="14">
          <cell r="F14" t="str">
            <v>FY13-Cash Labor Hours</v>
          </cell>
        </row>
        <row r="15">
          <cell r="F15" t="str">
            <v>FY13-Non-Cash Labor Hours</v>
          </cell>
        </row>
        <row r="23">
          <cell r="F23" t="str">
            <v>FY13-Total Cash-Based</v>
          </cell>
        </row>
        <row r="24">
          <cell r="F24" t="str">
            <v>FY13-Total non-Cash Based</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Notes"/>
      <sheetName val="Funding Summary"/>
      <sheetName val="GL FY14"/>
      <sheetName val="GL FY15"/>
      <sheetName val="GL FY16"/>
      <sheetName val="Labor Hours-FY14"/>
      <sheetName val="Labor Hours-FY15"/>
      <sheetName val="Labor Hours-FY16"/>
      <sheetName val="Budget"/>
      <sheetName val="Planned"/>
      <sheetName val="Forecast"/>
      <sheetName val="Ops Support"/>
      <sheetName val="Definitions "/>
      <sheetName val="Reference"/>
      <sheetName val="Labor Forecast"/>
    </sheetNames>
    <sheetDataSet>
      <sheetData sheetId="0" refreshError="1">
        <row r="2">
          <cell r="E2" t="str">
            <v>XYX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B4" t="str">
            <v>FY14-Non-Labor Cost</v>
          </cell>
          <cell r="C4" t="str">
            <v>Non-Labor Cost</v>
          </cell>
          <cell r="D4">
            <v>0</v>
          </cell>
          <cell r="E4">
            <v>0</v>
          </cell>
          <cell r="F4">
            <v>0</v>
          </cell>
          <cell r="G4">
            <v>0</v>
          </cell>
          <cell r="H4">
            <v>0</v>
          </cell>
          <cell r="I4">
            <v>0</v>
          </cell>
          <cell r="J4">
            <v>0</v>
          </cell>
          <cell r="K4">
            <v>0</v>
          </cell>
          <cell r="L4">
            <v>0</v>
          </cell>
          <cell r="M4">
            <v>0</v>
          </cell>
          <cell r="N4">
            <v>0</v>
          </cell>
          <cell r="O4">
            <v>0</v>
          </cell>
          <cell r="P4">
            <v>0</v>
          </cell>
          <cell r="R4" t="str">
            <v>FY14-Non-Labor Cost</v>
          </cell>
          <cell r="S4">
            <v>0</v>
          </cell>
          <cell r="T4">
            <v>0</v>
          </cell>
          <cell r="U4">
            <v>0</v>
          </cell>
          <cell r="V4">
            <v>0</v>
          </cell>
          <cell r="W4">
            <v>0</v>
          </cell>
          <cell r="X4">
            <v>0</v>
          </cell>
          <cell r="Y4">
            <v>0</v>
          </cell>
          <cell r="Z4">
            <v>0</v>
          </cell>
          <cell r="AA4">
            <v>0</v>
          </cell>
          <cell r="AB4">
            <v>0</v>
          </cell>
          <cell r="AC4">
            <v>0</v>
          </cell>
          <cell r="AD4">
            <v>0</v>
          </cell>
        </row>
        <row r="5">
          <cell r="B5" t="str">
            <v>FY14-Cash Labor Costs</v>
          </cell>
          <cell r="C5" t="str">
            <v>Cash Labor Costs</v>
          </cell>
          <cell r="D5">
            <v>0</v>
          </cell>
          <cell r="E5">
            <v>0</v>
          </cell>
          <cell r="F5">
            <v>0</v>
          </cell>
          <cell r="G5">
            <v>0</v>
          </cell>
          <cell r="H5">
            <v>0</v>
          </cell>
          <cell r="I5">
            <v>0</v>
          </cell>
          <cell r="J5">
            <v>0</v>
          </cell>
          <cell r="K5">
            <v>0</v>
          </cell>
          <cell r="L5">
            <v>0</v>
          </cell>
          <cell r="M5">
            <v>0</v>
          </cell>
          <cell r="N5">
            <v>0</v>
          </cell>
          <cell r="O5">
            <v>0</v>
          </cell>
          <cell r="P5">
            <v>0</v>
          </cell>
          <cell r="R5" t="str">
            <v>FY14-Cash Labor Costs</v>
          </cell>
          <cell r="S5">
            <v>0</v>
          </cell>
          <cell r="T5">
            <v>0</v>
          </cell>
          <cell r="U5">
            <v>0</v>
          </cell>
          <cell r="V5">
            <v>0</v>
          </cell>
          <cell r="W5">
            <v>0</v>
          </cell>
          <cell r="X5">
            <v>0</v>
          </cell>
          <cell r="Y5">
            <v>0</v>
          </cell>
          <cell r="Z5">
            <v>0</v>
          </cell>
          <cell r="AA5">
            <v>0</v>
          </cell>
          <cell r="AB5">
            <v>0</v>
          </cell>
          <cell r="AC5">
            <v>0</v>
          </cell>
          <cell r="AD5">
            <v>0</v>
          </cell>
        </row>
        <row r="6">
          <cell r="B6" t="str">
            <v>FY14-Non-Cash Labor Costs</v>
          </cell>
          <cell r="C6" t="str">
            <v>Non-Cash Labor Costs</v>
          </cell>
          <cell r="D6">
            <v>0</v>
          </cell>
          <cell r="E6">
            <v>0</v>
          </cell>
          <cell r="F6">
            <v>0</v>
          </cell>
          <cell r="G6">
            <v>0</v>
          </cell>
          <cell r="H6">
            <v>0</v>
          </cell>
          <cell r="I6">
            <v>0</v>
          </cell>
          <cell r="J6">
            <v>0</v>
          </cell>
          <cell r="K6">
            <v>0</v>
          </cell>
          <cell r="L6">
            <v>0</v>
          </cell>
          <cell r="M6">
            <v>0</v>
          </cell>
          <cell r="N6">
            <v>0</v>
          </cell>
          <cell r="O6">
            <v>0</v>
          </cell>
          <cell r="P6">
            <v>0</v>
          </cell>
          <cell r="R6" t="str">
            <v>FY14-Non-Cash Labor Costs</v>
          </cell>
          <cell r="S6">
            <v>0</v>
          </cell>
          <cell r="T6">
            <v>0</v>
          </cell>
          <cell r="U6">
            <v>0</v>
          </cell>
          <cell r="V6">
            <v>0</v>
          </cell>
          <cell r="W6">
            <v>0</v>
          </cell>
          <cell r="X6">
            <v>0</v>
          </cell>
          <cell r="Y6">
            <v>0</v>
          </cell>
          <cell r="Z6">
            <v>0</v>
          </cell>
          <cell r="AA6">
            <v>0</v>
          </cell>
          <cell r="AB6">
            <v>0</v>
          </cell>
          <cell r="AC6">
            <v>0</v>
          </cell>
          <cell r="AD6">
            <v>0</v>
          </cell>
        </row>
        <row r="7">
          <cell r="B7" t="str">
            <v>FY14-Cash Labor Hours</v>
          </cell>
          <cell r="C7" t="str">
            <v>Cash Labor Hours</v>
          </cell>
          <cell r="D7">
            <v>0</v>
          </cell>
          <cell r="E7">
            <v>0</v>
          </cell>
          <cell r="F7">
            <v>0</v>
          </cell>
          <cell r="G7">
            <v>0</v>
          </cell>
          <cell r="H7">
            <v>0</v>
          </cell>
          <cell r="I7">
            <v>0</v>
          </cell>
          <cell r="J7">
            <v>0</v>
          </cell>
          <cell r="K7">
            <v>0</v>
          </cell>
          <cell r="L7">
            <v>0</v>
          </cell>
          <cell r="M7">
            <v>0</v>
          </cell>
          <cell r="N7">
            <v>0</v>
          </cell>
          <cell r="O7">
            <v>0</v>
          </cell>
          <cell r="P7">
            <v>0</v>
          </cell>
          <cell r="R7" t="str">
            <v>FY14-Cash Labor Hours</v>
          </cell>
          <cell r="S7">
            <v>0</v>
          </cell>
          <cell r="T7">
            <v>0</v>
          </cell>
          <cell r="U7">
            <v>0</v>
          </cell>
          <cell r="V7">
            <v>0</v>
          </cell>
          <cell r="W7">
            <v>0</v>
          </cell>
          <cell r="X7">
            <v>0</v>
          </cell>
          <cell r="Y7">
            <v>0</v>
          </cell>
          <cell r="Z7">
            <v>0</v>
          </cell>
          <cell r="AA7">
            <v>0</v>
          </cell>
          <cell r="AB7">
            <v>0</v>
          </cell>
          <cell r="AC7">
            <v>0</v>
          </cell>
          <cell r="AD7">
            <v>0</v>
          </cell>
        </row>
        <row r="8">
          <cell r="B8" t="str">
            <v>FY14-Non-Cash Labor Hours</v>
          </cell>
          <cell r="C8" t="str">
            <v>Non-Cash Labor Hours</v>
          </cell>
          <cell r="D8">
            <v>0</v>
          </cell>
          <cell r="E8">
            <v>0</v>
          </cell>
          <cell r="F8">
            <v>0</v>
          </cell>
          <cell r="G8">
            <v>0</v>
          </cell>
          <cell r="H8">
            <v>0</v>
          </cell>
          <cell r="I8">
            <v>0</v>
          </cell>
          <cell r="J8">
            <v>0</v>
          </cell>
          <cell r="K8">
            <v>0</v>
          </cell>
          <cell r="L8">
            <v>0</v>
          </cell>
          <cell r="M8">
            <v>0</v>
          </cell>
          <cell r="N8">
            <v>0</v>
          </cell>
          <cell r="O8">
            <v>0</v>
          </cell>
          <cell r="P8">
            <v>0</v>
          </cell>
          <cell r="R8" t="str">
            <v>FY14-Non-Cash Labor Hours</v>
          </cell>
          <cell r="S8">
            <v>0</v>
          </cell>
          <cell r="T8">
            <v>0</v>
          </cell>
          <cell r="U8">
            <v>0</v>
          </cell>
          <cell r="V8">
            <v>0</v>
          </cell>
          <cell r="W8">
            <v>0</v>
          </cell>
          <cell r="X8">
            <v>0</v>
          </cell>
          <cell r="Y8">
            <v>0</v>
          </cell>
          <cell r="Z8">
            <v>0</v>
          </cell>
          <cell r="AA8">
            <v>0</v>
          </cell>
          <cell r="AB8">
            <v>0</v>
          </cell>
          <cell r="AC8">
            <v>0</v>
          </cell>
          <cell r="AD8">
            <v>0</v>
          </cell>
        </row>
        <row r="9">
          <cell r="B9" t="str">
            <v>FY14-Total Cost</v>
          </cell>
          <cell r="C9" t="str">
            <v>Total Cost</v>
          </cell>
          <cell r="D9">
            <v>0</v>
          </cell>
          <cell r="E9">
            <v>0</v>
          </cell>
          <cell r="F9">
            <v>0</v>
          </cell>
          <cell r="G9">
            <v>0</v>
          </cell>
          <cell r="H9">
            <v>0</v>
          </cell>
          <cell r="I9">
            <v>0</v>
          </cell>
          <cell r="J9">
            <v>0</v>
          </cell>
          <cell r="K9">
            <v>0</v>
          </cell>
          <cell r="L9">
            <v>0</v>
          </cell>
          <cell r="M9">
            <v>0</v>
          </cell>
          <cell r="N9">
            <v>0</v>
          </cell>
          <cell r="O9">
            <v>0</v>
          </cell>
          <cell r="P9">
            <v>0</v>
          </cell>
          <cell r="R9" t="str">
            <v>FY14-Total Cost</v>
          </cell>
          <cell r="S9">
            <v>0</v>
          </cell>
          <cell r="T9">
            <v>0</v>
          </cell>
          <cell r="U9">
            <v>0</v>
          </cell>
          <cell r="V9">
            <v>0</v>
          </cell>
          <cell r="W9">
            <v>0</v>
          </cell>
          <cell r="X9">
            <v>0</v>
          </cell>
          <cell r="Y9">
            <v>0</v>
          </cell>
          <cell r="Z9">
            <v>0</v>
          </cell>
          <cell r="AA9">
            <v>0</v>
          </cell>
          <cell r="AB9">
            <v>0</v>
          </cell>
          <cell r="AC9">
            <v>0</v>
          </cell>
          <cell r="AD9">
            <v>0</v>
          </cell>
        </row>
        <row r="10">
          <cell r="B10" t="str">
            <v>FY14-Total Hours</v>
          </cell>
          <cell r="C10" t="str">
            <v>Total Hours</v>
          </cell>
          <cell r="D10">
            <v>0</v>
          </cell>
          <cell r="E10">
            <v>0</v>
          </cell>
          <cell r="F10">
            <v>0</v>
          </cell>
          <cell r="G10">
            <v>0</v>
          </cell>
          <cell r="H10">
            <v>0</v>
          </cell>
          <cell r="I10">
            <v>0</v>
          </cell>
          <cell r="J10">
            <v>0</v>
          </cell>
          <cell r="K10">
            <v>0</v>
          </cell>
          <cell r="L10">
            <v>0</v>
          </cell>
          <cell r="M10">
            <v>0</v>
          </cell>
          <cell r="N10">
            <v>0</v>
          </cell>
          <cell r="O10">
            <v>0</v>
          </cell>
          <cell r="P10">
            <v>0</v>
          </cell>
          <cell r="R10" t="str">
            <v>FY14-Total Hours</v>
          </cell>
          <cell r="S10">
            <v>0</v>
          </cell>
          <cell r="T10">
            <v>0</v>
          </cell>
          <cell r="U10">
            <v>0</v>
          </cell>
          <cell r="V10">
            <v>0</v>
          </cell>
          <cell r="W10">
            <v>0</v>
          </cell>
          <cell r="X10">
            <v>0</v>
          </cell>
          <cell r="Y10">
            <v>0</v>
          </cell>
          <cell r="Z10">
            <v>0</v>
          </cell>
          <cell r="AA10">
            <v>0</v>
          </cell>
          <cell r="AB10">
            <v>0</v>
          </cell>
          <cell r="AC10">
            <v>0</v>
          </cell>
          <cell r="AD10">
            <v>0</v>
          </cell>
        </row>
        <row r="11">
          <cell r="B11" t="str">
            <v>FY15-Non-Labor Cost</v>
          </cell>
          <cell r="C11" t="str">
            <v>Non-Labor Cost</v>
          </cell>
          <cell r="D11">
            <v>0</v>
          </cell>
          <cell r="E11">
            <v>0</v>
          </cell>
          <cell r="F11">
            <v>0</v>
          </cell>
          <cell r="G11">
            <v>0</v>
          </cell>
          <cell r="H11">
            <v>0</v>
          </cell>
          <cell r="I11">
            <v>0</v>
          </cell>
          <cell r="J11">
            <v>0</v>
          </cell>
          <cell r="K11">
            <v>0</v>
          </cell>
          <cell r="L11">
            <v>0</v>
          </cell>
          <cell r="M11">
            <v>0</v>
          </cell>
          <cell r="N11">
            <v>0</v>
          </cell>
          <cell r="O11">
            <v>0</v>
          </cell>
          <cell r="P11">
            <v>0</v>
          </cell>
          <cell r="R11" t="str">
            <v>FY15-Non-Labor Cost</v>
          </cell>
          <cell r="S11">
            <v>0</v>
          </cell>
          <cell r="T11">
            <v>0</v>
          </cell>
          <cell r="U11">
            <v>0</v>
          </cell>
          <cell r="V11">
            <v>0</v>
          </cell>
          <cell r="W11">
            <v>0</v>
          </cell>
          <cell r="X11">
            <v>0</v>
          </cell>
          <cell r="Y11">
            <v>0</v>
          </cell>
          <cell r="Z11">
            <v>0</v>
          </cell>
          <cell r="AA11">
            <v>0</v>
          </cell>
          <cell r="AB11">
            <v>0</v>
          </cell>
          <cell r="AC11">
            <v>0</v>
          </cell>
          <cell r="AD11">
            <v>0</v>
          </cell>
        </row>
        <row r="12">
          <cell r="B12" t="str">
            <v>FY15-Cash Labor Costs</v>
          </cell>
          <cell r="C12" t="str">
            <v>Cash Labor Costs</v>
          </cell>
          <cell r="D12">
            <v>0</v>
          </cell>
          <cell r="E12">
            <v>0</v>
          </cell>
          <cell r="F12">
            <v>0</v>
          </cell>
          <cell r="G12">
            <v>0</v>
          </cell>
          <cell r="H12">
            <v>0</v>
          </cell>
          <cell r="I12">
            <v>0</v>
          </cell>
          <cell r="J12">
            <v>0</v>
          </cell>
          <cell r="K12">
            <v>0</v>
          </cell>
          <cell r="L12">
            <v>0</v>
          </cell>
          <cell r="M12">
            <v>0</v>
          </cell>
          <cell r="N12">
            <v>0</v>
          </cell>
          <cell r="O12">
            <v>0</v>
          </cell>
          <cell r="P12">
            <v>0</v>
          </cell>
          <cell r="R12" t="str">
            <v>FY15-Cash Labor Costs</v>
          </cell>
          <cell r="S12">
            <v>0</v>
          </cell>
          <cell r="T12">
            <v>0</v>
          </cell>
          <cell r="U12">
            <v>0</v>
          </cell>
          <cell r="V12">
            <v>0</v>
          </cell>
          <cell r="W12">
            <v>0</v>
          </cell>
          <cell r="X12">
            <v>0</v>
          </cell>
          <cell r="Y12">
            <v>0</v>
          </cell>
          <cell r="Z12">
            <v>0</v>
          </cell>
          <cell r="AA12">
            <v>0</v>
          </cell>
          <cell r="AB12">
            <v>0</v>
          </cell>
          <cell r="AC12">
            <v>0</v>
          </cell>
          <cell r="AD12">
            <v>0</v>
          </cell>
        </row>
        <row r="13">
          <cell r="B13" t="str">
            <v>FY15-Non-Cash Labor Costs</v>
          </cell>
          <cell r="C13" t="str">
            <v>Non-Cash Labor Costs</v>
          </cell>
          <cell r="D13">
            <v>0</v>
          </cell>
          <cell r="E13">
            <v>0</v>
          </cell>
          <cell r="F13">
            <v>0</v>
          </cell>
          <cell r="G13">
            <v>0</v>
          </cell>
          <cell r="H13">
            <v>0</v>
          </cell>
          <cell r="I13">
            <v>0</v>
          </cell>
          <cell r="J13">
            <v>0</v>
          </cell>
          <cell r="K13">
            <v>0</v>
          </cell>
          <cell r="L13">
            <v>0</v>
          </cell>
          <cell r="M13">
            <v>0</v>
          </cell>
          <cell r="N13">
            <v>0</v>
          </cell>
          <cell r="O13">
            <v>0</v>
          </cell>
          <cell r="P13">
            <v>0</v>
          </cell>
          <cell r="R13" t="str">
            <v>FY15-Non-Cash Labor Costs</v>
          </cell>
          <cell r="S13">
            <v>0</v>
          </cell>
          <cell r="T13">
            <v>0</v>
          </cell>
          <cell r="U13">
            <v>0</v>
          </cell>
          <cell r="V13">
            <v>0</v>
          </cell>
          <cell r="W13">
            <v>0</v>
          </cell>
          <cell r="X13">
            <v>0</v>
          </cell>
          <cell r="Y13">
            <v>0</v>
          </cell>
          <cell r="Z13">
            <v>0</v>
          </cell>
          <cell r="AA13">
            <v>0</v>
          </cell>
          <cell r="AB13">
            <v>0</v>
          </cell>
          <cell r="AC13">
            <v>0</v>
          </cell>
          <cell r="AD13">
            <v>0</v>
          </cell>
        </row>
        <row r="14">
          <cell r="B14" t="str">
            <v>FY15-Cash Labor Hours</v>
          </cell>
          <cell r="C14" t="str">
            <v>Cash Labor Hours</v>
          </cell>
          <cell r="D14">
            <v>0</v>
          </cell>
          <cell r="E14">
            <v>0</v>
          </cell>
          <cell r="F14">
            <v>0</v>
          </cell>
          <cell r="G14">
            <v>0</v>
          </cell>
          <cell r="H14">
            <v>0</v>
          </cell>
          <cell r="I14">
            <v>0</v>
          </cell>
          <cell r="J14">
            <v>0</v>
          </cell>
          <cell r="K14">
            <v>0</v>
          </cell>
          <cell r="L14">
            <v>0</v>
          </cell>
          <cell r="M14">
            <v>0</v>
          </cell>
          <cell r="N14">
            <v>0</v>
          </cell>
          <cell r="O14">
            <v>0</v>
          </cell>
          <cell r="P14">
            <v>0</v>
          </cell>
          <cell r="R14" t="str">
            <v>FY15-Cash Labor Hours</v>
          </cell>
          <cell r="S14">
            <v>0</v>
          </cell>
          <cell r="T14">
            <v>0</v>
          </cell>
          <cell r="U14">
            <v>0</v>
          </cell>
          <cell r="V14">
            <v>0</v>
          </cell>
          <cell r="W14">
            <v>0</v>
          </cell>
          <cell r="X14">
            <v>0</v>
          </cell>
          <cell r="Y14">
            <v>0</v>
          </cell>
          <cell r="Z14">
            <v>0</v>
          </cell>
          <cell r="AA14">
            <v>0</v>
          </cell>
          <cell r="AB14">
            <v>0</v>
          </cell>
          <cell r="AC14">
            <v>0</v>
          </cell>
          <cell r="AD14">
            <v>0</v>
          </cell>
        </row>
        <row r="15">
          <cell r="B15" t="str">
            <v>FY15-Non-Cash Labor Hours</v>
          </cell>
          <cell r="C15" t="str">
            <v>Non-Cash Labor Hours</v>
          </cell>
          <cell r="D15">
            <v>0</v>
          </cell>
          <cell r="E15">
            <v>0</v>
          </cell>
          <cell r="F15">
            <v>0</v>
          </cell>
          <cell r="G15">
            <v>0</v>
          </cell>
          <cell r="H15">
            <v>0</v>
          </cell>
          <cell r="I15">
            <v>0</v>
          </cell>
          <cell r="J15">
            <v>0</v>
          </cell>
          <cell r="K15">
            <v>0</v>
          </cell>
          <cell r="L15">
            <v>0</v>
          </cell>
          <cell r="M15">
            <v>0</v>
          </cell>
          <cell r="N15">
            <v>0</v>
          </cell>
          <cell r="O15">
            <v>0</v>
          </cell>
          <cell r="P15">
            <v>0</v>
          </cell>
          <cell r="R15" t="str">
            <v>FY15-Non-Cash Labor Hours</v>
          </cell>
          <cell r="S15">
            <v>0</v>
          </cell>
          <cell r="T15">
            <v>0</v>
          </cell>
          <cell r="U15">
            <v>0</v>
          </cell>
          <cell r="V15">
            <v>0</v>
          </cell>
          <cell r="W15">
            <v>0</v>
          </cell>
          <cell r="X15">
            <v>0</v>
          </cell>
          <cell r="Y15">
            <v>0</v>
          </cell>
          <cell r="Z15">
            <v>0</v>
          </cell>
          <cell r="AA15">
            <v>0</v>
          </cell>
          <cell r="AB15">
            <v>0</v>
          </cell>
          <cell r="AC15">
            <v>0</v>
          </cell>
          <cell r="AD15">
            <v>0</v>
          </cell>
        </row>
        <row r="16">
          <cell r="B16" t="str">
            <v>FY15-Total Cost</v>
          </cell>
          <cell r="C16" t="str">
            <v>Total Cost</v>
          </cell>
          <cell r="D16">
            <v>0</v>
          </cell>
          <cell r="E16">
            <v>0</v>
          </cell>
          <cell r="F16">
            <v>0</v>
          </cell>
          <cell r="G16">
            <v>0</v>
          </cell>
          <cell r="H16">
            <v>0</v>
          </cell>
          <cell r="I16">
            <v>0</v>
          </cell>
          <cell r="J16">
            <v>0</v>
          </cell>
          <cell r="K16">
            <v>0</v>
          </cell>
          <cell r="L16">
            <v>0</v>
          </cell>
          <cell r="M16">
            <v>0</v>
          </cell>
          <cell r="N16">
            <v>0</v>
          </cell>
          <cell r="O16">
            <v>0</v>
          </cell>
          <cell r="P16">
            <v>0</v>
          </cell>
          <cell r="R16" t="str">
            <v>FY15-Total Cost</v>
          </cell>
          <cell r="S16">
            <v>0</v>
          </cell>
          <cell r="T16">
            <v>0</v>
          </cell>
          <cell r="U16">
            <v>0</v>
          </cell>
          <cell r="V16">
            <v>0</v>
          </cell>
          <cell r="W16">
            <v>0</v>
          </cell>
          <cell r="X16">
            <v>0</v>
          </cell>
          <cell r="Y16">
            <v>0</v>
          </cell>
          <cell r="Z16">
            <v>0</v>
          </cell>
          <cell r="AA16">
            <v>0</v>
          </cell>
          <cell r="AB16">
            <v>0</v>
          </cell>
          <cell r="AC16">
            <v>0</v>
          </cell>
          <cell r="AD16">
            <v>0</v>
          </cell>
        </row>
        <row r="17">
          <cell r="B17" t="str">
            <v>FY15-Total Hours</v>
          </cell>
          <cell r="C17" t="str">
            <v>Total Hours</v>
          </cell>
          <cell r="D17">
            <v>0</v>
          </cell>
          <cell r="E17">
            <v>0</v>
          </cell>
          <cell r="F17">
            <v>0</v>
          </cell>
          <cell r="G17">
            <v>0</v>
          </cell>
          <cell r="H17">
            <v>0</v>
          </cell>
          <cell r="I17">
            <v>0</v>
          </cell>
          <cell r="J17">
            <v>0</v>
          </cell>
          <cell r="K17">
            <v>0</v>
          </cell>
          <cell r="L17">
            <v>0</v>
          </cell>
          <cell r="M17">
            <v>0</v>
          </cell>
          <cell r="N17">
            <v>0</v>
          </cell>
          <cell r="O17">
            <v>0</v>
          </cell>
          <cell r="P17">
            <v>0</v>
          </cell>
          <cell r="R17" t="str">
            <v>FY15-Total Hours</v>
          </cell>
          <cell r="S17">
            <v>0</v>
          </cell>
          <cell r="T17">
            <v>0</v>
          </cell>
          <cell r="U17">
            <v>0</v>
          </cell>
          <cell r="V17">
            <v>0</v>
          </cell>
          <cell r="W17">
            <v>0</v>
          </cell>
          <cell r="X17">
            <v>0</v>
          </cell>
          <cell r="Y17">
            <v>0</v>
          </cell>
          <cell r="Z17">
            <v>0</v>
          </cell>
          <cell r="AA17">
            <v>0</v>
          </cell>
          <cell r="AB17">
            <v>0</v>
          </cell>
          <cell r="AC17">
            <v>0</v>
          </cell>
          <cell r="AD17">
            <v>0</v>
          </cell>
        </row>
        <row r="18">
          <cell r="B18" t="str">
            <v>FY16-Non-Labor Cost</v>
          </cell>
          <cell r="C18" t="str">
            <v>Non-Labor Cost</v>
          </cell>
          <cell r="D18">
            <v>0</v>
          </cell>
          <cell r="E18">
            <v>0</v>
          </cell>
          <cell r="F18">
            <v>0</v>
          </cell>
          <cell r="G18">
            <v>0</v>
          </cell>
          <cell r="H18">
            <v>0</v>
          </cell>
          <cell r="I18">
            <v>0</v>
          </cell>
          <cell r="J18">
            <v>0</v>
          </cell>
          <cell r="K18">
            <v>0</v>
          </cell>
          <cell r="L18">
            <v>0</v>
          </cell>
          <cell r="M18">
            <v>0</v>
          </cell>
          <cell r="N18">
            <v>0</v>
          </cell>
          <cell r="O18">
            <v>0</v>
          </cell>
          <cell r="P18">
            <v>0</v>
          </cell>
          <cell r="R18" t="str">
            <v>FY16-Non-Labor Cost</v>
          </cell>
          <cell r="S18">
            <v>0</v>
          </cell>
          <cell r="T18">
            <v>0</v>
          </cell>
          <cell r="U18">
            <v>0</v>
          </cell>
          <cell r="V18">
            <v>0</v>
          </cell>
          <cell r="W18">
            <v>0</v>
          </cell>
          <cell r="X18">
            <v>0</v>
          </cell>
          <cell r="Y18">
            <v>0</v>
          </cell>
          <cell r="Z18">
            <v>0</v>
          </cell>
          <cell r="AA18">
            <v>0</v>
          </cell>
          <cell r="AB18">
            <v>0</v>
          </cell>
          <cell r="AC18">
            <v>0</v>
          </cell>
          <cell r="AD18">
            <v>0</v>
          </cell>
        </row>
        <row r="19">
          <cell r="B19" t="str">
            <v>FY16-Cash Labor Costs</v>
          </cell>
          <cell r="C19" t="str">
            <v>Cash Labor Costs</v>
          </cell>
          <cell r="D19">
            <v>0</v>
          </cell>
          <cell r="E19">
            <v>0</v>
          </cell>
          <cell r="F19">
            <v>0</v>
          </cell>
          <cell r="G19">
            <v>0</v>
          </cell>
          <cell r="H19">
            <v>0</v>
          </cell>
          <cell r="I19">
            <v>0</v>
          </cell>
          <cell r="J19">
            <v>0</v>
          </cell>
          <cell r="K19">
            <v>0</v>
          </cell>
          <cell r="L19">
            <v>0</v>
          </cell>
          <cell r="M19">
            <v>0</v>
          </cell>
          <cell r="N19">
            <v>0</v>
          </cell>
          <cell r="O19">
            <v>0</v>
          </cell>
          <cell r="P19">
            <v>0</v>
          </cell>
          <cell r="R19" t="str">
            <v>FY16-Cash Labor Costs</v>
          </cell>
          <cell r="S19">
            <v>0</v>
          </cell>
          <cell r="T19">
            <v>0</v>
          </cell>
          <cell r="U19">
            <v>0</v>
          </cell>
          <cell r="V19">
            <v>0</v>
          </cell>
          <cell r="W19">
            <v>0</v>
          </cell>
          <cell r="X19">
            <v>0</v>
          </cell>
          <cell r="Y19">
            <v>0</v>
          </cell>
          <cell r="Z19">
            <v>0</v>
          </cell>
          <cell r="AA19">
            <v>0</v>
          </cell>
          <cell r="AB19">
            <v>0</v>
          </cell>
          <cell r="AC19">
            <v>0</v>
          </cell>
          <cell r="AD19">
            <v>0</v>
          </cell>
        </row>
        <row r="20">
          <cell r="B20" t="str">
            <v>FY16-Non-Cash Labor Costs</v>
          </cell>
          <cell r="C20" t="str">
            <v>Non-Cash Labor Costs</v>
          </cell>
          <cell r="D20">
            <v>0</v>
          </cell>
          <cell r="E20">
            <v>0</v>
          </cell>
          <cell r="F20">
            <v>0</v>
          </cell>
          <cell r="G20">
            <v>0</v>
          </cell>
          <cell r="H20">
            <v>0</v>
          </cell>
          <cell r="I20">
            <v>0</v>
          </cell>
          <cell r="J20">
            <v>0</v>
          </cell>
          <cell r="K20">
            <v>0</v>
          </cell>
          <cell r="L20">
            <v>0</v>
          </cell>
          <cell r="M20">
            <v>0</v>
          </cell>
          <cell r="N20">
            <v>0</v>
          </cell>
          <cell r="O20">
            <v>0</v>
          </cell>
          <cell r="P20">
            <v>0</v>
          </cell>
          <cell r="R20" t="str">
            <v>FY16-Non-Cash Labor Costs</v>
          </cell>
          <cell r="S20">
            <v>0</v>
          </cell>
          <cell r="T20">
            <v>0</v>
          </cell>
          <cell r="U20">
            <v>0</v>
          </cell>
          <cell r="V20">
            <v>0</v>
          </cell>
          <cell r="W20">
            <v>0</v>
          </cell>
          <cell r="X20">
            <v>0</v>
          </cell>
          <cell r="Y20">
            <v>0</v>
          </cell>
          <cell r="Z20">
            <v>0</v>
          </cell>
          <cell r="AA20">
            <v>0</v>
          </cell>
          <cell r="AB20">
            <v>0</v>
          </cell>
          <cell r="AC20">
            <v>0</v>
          </cell>
          <cell r="AD20">
            <v>0</v>
          </cell>
        </row>
        <row r="21">
          <cell r="B21" t="str">
            <v>FY16-Cash Labor Hours</v>
          </cell>
          <cell r="C21" t="str">
            <v>Cash Labor Hours</v>
          </cell>
          <cell r="D21">
            <v>0</v>
          </cell>
          <cell r="E21">
            <v>0</v>
          </cell>
          <cell r="F21">
            <v>0</v>
          </cell>
          <cell r="G21">
            <v>0</v>
          </cell>
          <cell r="H21">
            <v>0</v>
          </cell>
          <cell r="I21">
            <v>0</v>
          </cell>
          <cell r="J21">
            <v>0</v>
          </cell>
          <cell r="K21">
            <v>0</v>
          </cell>
          <cell r="L21">
            <v>0</v>
          </cell>
          <cell r="M21">
            <v>0</v>
          </cell>
          <cell r="N21">
            <v>0</v>
          </cell>
          <cell r="O21">
            <v>0</v>
          </cell>
          <cell r="P21">
            <v>0</v>
          </cell>
          <cell r="R21" t="str">
            <v>FY16-Cash Labor Hours</v>
          </cell>
          <cell r="S21">
            <v>0</v>
          </cell>
          <cell r="T21">
            <v>0</v>
          </cell>
          <cell r="U21">
            <v>0</v>
          </cell>
          <cell r="V21">
            <v>0</v>
          </cell>
          <cell r="W21">
            <v>0</v>
          </cell>
          <cell r="X21">
            <v>0</v>
          </cell>
          <cell r="Y21">
            <v>0</v>
          </cell>
          <cell r="Z21">
            <v>0</v>
          </cell>
          <cell r="AA21">
            <v>0</v>
          </cell>
          <cell r="AB21">
            <v>0</v>
          </cell>
          <cell r="AC21">
            <v>0</v>
          </cell>
          <cell r="AD21">
            <v>0</v>
          </cell>
        </row>
        <row r="22">
          <cell r="B22" t="str">
            <v>FY16-Non-Cash Labor Hours</v>
          </cell>
          <cell r="C22" t="str">
            <v>Non-Cash Labor Hours</v>
          </cell>
          <cell r="D22">
            <v>0</v>
          </cell>
          <cell r="E22">
            <v>0</v>
          </cell>
          <cell r="F22">
            <v>0</v>
          </cell>
          <cell r="G22">
            <v>0</v>
          </cell>
          <cell r="H22">
            <v>0</v>
          </cell>
          <cell r="I22">
            <v>0</v>
          </cell>
          <cell r="J22">
            <v>0</v>
          </cell>
          <cell r="K22">
            <v>0</v>
          </cell>
          <cell r="L22">
            <v>0</v>
          </cell>
          <cell r="M22">
            <v>0</v>
          </cell>
          <cell r="N22">
            <v>0</v>
          </cell>
          <cell r="O22">
            <v>0</v>
          </cell>
          <cell r="P22">
            <v>0</v>
          </cell>
          <cell r="R22" t="str">
            <v>FY16-Non-Cash Labor Hours</v>
          </cell>
          <cell r="S22">
            <v>0</v>
          </cell>
          <cell r="T22">
            <v>0</v>
          </cell>
          <cell r="U22">
            <v>0</v>
          </cell>
          <cell r="V22">
            <v>0</v>
          </cell>
          <cell r="W22">
            <v>0</v>
          </cell>
          <cell r="X22">
            <v>0</v>
          </cell>
          <cell r="Y22">
            <v>0</v>
          </cell>
          <cell r="Z22">
            <v>0</v>
          </cell>
          <cell r="AA22">
            <v>0</v>
          </cell>
          <cell r="AB22">
            <v>0</v>
          </cell>
          <cell r="AC22">
            <v>0</v>
          </cell>
          <cell r="AD22">
            <v>0</v>
          </cell>
        </row>
        <row r="23">
          <cell r="B23" t="str">
            <v>FY16-Total Cost</v>
          </cell>
          <cell r="C23" t="str">
            <v>Total Cost</v>
          </cell>
          <cell r="D23">
            <v>0</v>
          </cell>
          <cell r="E23">
            <v>0</v>
          </cell>
          <cell r="F23">
            <v>0</v>
          </cell>
          <cell r="G23">
            <v>0</v>
          </cell>
          <cell r="H23">
            <v>0</v>
          </cell>
          <cell r="I23">
            <v>0</v>
          </cell>
          <cell r="J23">
            <v>0</v>
          </cell>
          <cell r="K23">
            <v>0</v>
          </cell>
          <cell r="L23">
            <v>0</v>
          </cell>
          <cell r="M23">
            <v>0</v>
          </cell>
          <cell r="N23">
            <v>0</v>
          </cell>
          <cell r="O23">
            <v>0</v>
          </cell>
          <cell r="P23">
            <v>0</v>
          </cell>
          <cell r="R23" t="str">
            <v>FY16-Total Cost</v>
          </cell>
          <cell r="S23">
            <v>0</v>
          </cell>
          <cell r="T23">
            <v>0</v>
          </cell>
          <cell r="U23">
            <v>0</v>
          </cell>
          <cell r="V23">
            <v>0</v>
          </cell>
          <cell r="W23">
            <v>0</v>
          </cell>
          <cell r="X23">
            <v>0</v>
          </cell>
          <cell r="Y23">
            <v>0</v>
          </cell>
          <cell r="Z23">
            <v>0</v>
          </cell>
          <cell r="AA23">
            <v>0</v>
          </cell>
          <cell r="AB23">
            <v>0</v>
          </cell>
          <cell r="AC23">
            <v>0</v>
          </cell>
          <cell r="AD23">
            <v>0</v>
          </cell>
        </row>
        <row r="24">
          <cell r="B24" t="str">
            <v>FY16-Total Hours</v>
          </cell>
          <cell r="C24" t="str">
            <v>Total Hours</v>
          </cell>
          <cell r="D24">
            <v>0</v>
          </cell>
          <cell r="E24">
            <v>0</v>
          </cell>
          <cell r="F24">
            <v>0</v>
          </cell>
          <cell r="G24">
            <v>0</v>
          </cell>
          <cell r="H24">
            <v>0</v>
          </cell>
          <cell r="I24">
            <v>0</v>
          </cell>
          <cell r="J24">
            <v>0</v>
          </cell>
          <cell r="K24">
            <v>0</v>
          </cell>
          <cell r="L24">
            <v>0</v>
          </cell>
          <cell r="M24">
            <v>0</v>
          </cell>
          <cell r="N24">
            <v>0</v>
          </cell>
          <cell r="O24">
            <v>0</v>
          </cell>
          <cell r="P24">
            <v>0</v>
          </cell>
          <cell r="R24" t="str">
            <v>FY16-Total Hours</v>
          </cell>
          <cell r="S24">
            <v>0</v>
          </cell>
          <cell r="T24">
            <v>0</v>
          </cell>
          <cell r="U24">
            <v>0</v>
          </cell>
          <cell r="V24">
            <v>0</v>
          </cell>
          <cell r="W24">
            <v>0</v>
          </cell>
          <cell r="X24">
            <v>0</v>
          </cell>
          <cell r="Y24">
            <v>0</v>
          </cell>
          <cell r="Z24">
            <v>0</v>
          </cell>
          <cell r="AA24">
            <v>0</v>
          </cell>
          <cell r="AB24">
            <v>0</v>
          </cell>
          <cell r="AC24">
            <v>0</v>
          </cell>
          <cell r="AD24">
            <v>0</v>
          </cell>
        </row>
        <row r="26">
          <cell r="B26" t="str">
            <v>Total-Non-Labor Cost</v>
          </cell>
          <cell r="C26" t="str">
            <v>Non-Labor Cost</v>
          </cell>
          <cell r="D26">
            <v>0</v>
          </cell>
          <cell r="E26">
            <v>0</v>
          </cell>
          <cell r="F26">
            <v>0</v>
          </cell>
          <cell r="G26">
            <v>0</v>
          </cell>
          <cell r="H26">
            <v>0</v>
          </cell>
          <cell r="I26">
            <v>0</v>
          </cell>
          <cell r="J26">
            <v>0</v>
          </cell>
          <cell r="K26">
            <v>0</v>
          </cell>
          <cell r="L26">
            <v>0</v>
          </cell>
          <cell r="M26">
            <v>0</v>
          </cell>
          <cell r="N26">
            <v>0</v>
          </cell>
          <cell r="O26">
            <v>0</v>
          </cell>
          <cell r="P26">
            <v>0</v>
          </cell>
        </row>
        <row r="27">
          <cell r="B27" t="str">
            <v>Total-Cash Labor Costs</v>
          </cell>
          <cell r="C27" t="str">
            <v>Cash Labor Costs</v>
          </cell>
          <cell r="D27">
            <v>0</v>
          </cell>
          <cell r="E27">
            <v>0</v>
          </cell>
          <cell r="F27">
            <v>0</v>
          </cell>
          <cell r="G27">
            <v>0</v>
          </cell>
          <cell r="H27">
            <v>0</v>
          </cell>
          <cell r="I27">
            <v>0</v>
          </cell>
          <cell r="J27">
            <v>0</v>
          </cell>
          <cell r="K27">
            <v>0</v>
          </cell>
          <cell r="L27">
            <v>0</v>
          </cell>
          <cell r="M27">
            <v>0</v>
          </cell>
          <cell r="N27">
            <v>0</v>
          </cell>
          <cell r="O27">
            <v>0</v>
          </cell>
          <cell r="P27">
            <v>0</v>
          </cell>
        </row>
        <row r="28">
          <cell r="B28" t="str">
            <v>Total-Non-Cash Labor Costs</v>
          </cell>
          <cell r="C28" t="str">
            <v>Non-Cash Labor Costs</v>
          </cell>
          <cell r="D28">
            <v>0</v>
          </cell>
          <cell r="E28">
            <v>0</v>
          </cell>
          <cell r="F28">
            <v>0</v>
          </cell>
          <cell r="G28">
            <v>0</v>
          </cell>
          <cell r="H28">
            <v>0</v>
          </cell>
          <cell r="I28">
            <v>0</v>
          </cell>
          <cell r="J28">
            <v>0</v>
          </cell>
          <cell r="K28">
            <v>0</v>
          </cell>
          <cell r="L28">
            <v>0</v>
          </cell>
          <cell r="M28">
            <v>0</v>
          </cell>
          <cell r="N28">
            <v>0</v>
          </cell>
          <cell r="O28">
            <v>0</v>
          </cell>
          <cell r="P28">
            <v>0</v>
          </cell>
        </row>
        <row r="29">
          <cell r="B29" t="str">
            <v>Total-Cash Labor Hours</v>
          </cell>
          <cell r="C29" t="str">
            <v>Cash Labor Hours</v>
          </cell>
          <cell r="D29">
            <v>0</v>
          </cell>
          <cell r="E29">
            <v>0</v>
          </cell>
          <cell r="F29">
            <v>0</v>
          </cell>
          <cell r="G29">
            <v>0</v>
          </cell>
          <cell r="H29">
            <v>0</v>
          </cell>
          <cell r="I29">
            <v>0</v>
          </cell>
          <cell r="J29">
            <v>0</v>
          </cell>
          <cell r="K29">
            <v>0</v>
          </cell>
          <cell r="L29">
            <v>0</v>
          </cell>
          <cell r="M29">
            <v>0</v>
          </cell>
          <cell r="N29">
            <v>0</v>
          </cell>
          <cell r="O29">
            <v>0</v>
          </cell>
          <cell r="P29">
            <v>0</v>
          </cell>
        </row>
        <row r="30">
          <cell r="B30" t="str">
            <v>Total-Non-Cash Labor Hours</v>
          </cell>
          <cell r="C30" t="str">
            <v>Non-Cash Labor Hours</v>
          </cell>
          <cell r="D30">
            <v>0</v>
          </cell>
          <cell r="E30">
            <v>0</v>
          </cell>
          <cell r="F30">
            <v>0</v>
          </cell>
          <cell r="G30">
            <v>0</v>
          </cell>
          <cell r="H30">
            <v>0</v>
          </cell>
          <cell r="I30">
            <v>0</v>
          </cell>
          <cell r="J30">
            <v>0</v>
          </cell>
          <cell r="K30">
            <v>0</v>
          </cell>
          <cell r="L30">
            <v>0</v>
          </cell>
          <cell r="M30">
            <v>0</v>
          </cell>
          <cell r="N30">
            <v>0</v>
          </cell>
          <cell r="O30">
            <v>0</v>
          </cell>
          <cell r="P30">
            <v>0</v>
          </cell>
        </row>
        <row r="31">
          <cell r="B31" t="str">
            <v>Total-Total Cost</v>
          </cell>
          <cell r="C31" t="str">
            <v>Total Cost</v>
          </cell>
          <cell r="D31">
            <v>0</v>
          </cell>
          <cell r="E31">
            <v>0</v>
          </cell>
          <cell r="F31">
            <v>0</v>
          </cell>
          <cell r="G31">
            <v>0</v>
          </cell>
          <cell r="H31">
            <v>0</v>
          </cell>
          <cell r="I31">
            <v>0</v>
          </cell>
          <cell r="J31">
            <v>0</v>
          </cell>
          <cell r="K31">
            <v>0</v>
          </cell>
          <cell r="L31">
            <v>0</v>
          </cell>
          <cell r="M31">
            <v>0</v>
          </cell>
          <cell r="N31">
            <v>0</v>
          </cell>
          <cell r="O31">
            <v>0</v>
          </cell>
          <cell r="P31">
            <v>0</v>
          </cell>
        </row>
        <row r="32">
          <cell r="B32" t="str">
            <v>Total-Total Hours</v>
          </cell>
          <cell r="C32" t="str">
            <v>Total Hours</v>
          </cell>
          <cell r="D32">
            <v>0</v>
          </cell>
          <cell r="E32">
            <v>0</v>
          </cell>
          <cell r="F32">
            <v>0</v>
          </cell>
          <cell r="G32">
            <v>0</v>
          </cell>
          <cell r="H32">
            <v>0</v>
          </cell>
          <cell r="I32">
            <v>0</v>
          </cell>
          <cell r="J32">
            <v>0</v>
          </cell>
          <cell r="K32">
            <v>0</v>
          </cell>
          <cell r="L32">
            <v>0</v>
          </cell>
          <cell r="M32">
            <v>0</v>
          </cell>
          <cell r="N32">
            <v>0</v>
          </cell>
          <cell r="O32">
            <v>0</v>
          </cell>
          <cell r="P32">
            <v>0</v>
          </cell>
        </row>
        <row r="36">
          <cell r="B36" t="str">
            <v>FY14-Univ PBA</v>
          </cell>
          <cell r="C36" t="str">
            <v>Univ PBA</v>
          </cell>
          <cell r="D36">
            <v>0</v>
          </cell>
          <cell r="E36">
            <v>0</v>
          </cell>
          <cell r="F36">
            <v>0</v>
          </cell>
          <cell r="G36">
            <v>0</v>
          </cell>
          <cell r="H36">
            <v>0</v>
          </cell>
          <cell r="I36">
            <v>0</v>
          </cell>
          <cell r="J36">
            <v>0</v>
          </cell>
          <cell r="K36">
            <v>0</v>
          </cell>
          <cell r="L36">
            <v>0</v>
          </cell>
          <cell r="M36">
            <v>0</v>
          </cell>
          <cell r="N36">
            <v>0</v>
          </cell>
          <cell r="O36">
            <v>0</v>
          </cell>
          <cell r="P36">
            <v>0</v>
          </cell>
          <cell r="R36" t="str">
            <v>FY14-Univ PBA</v>
          </cell>
          <cell r="S36">
            <v>0</v>
          </cell>
          <cell r="T36">
            <v>0</v>
          </cell>
          <cell r="U36">
            <v>0</v>
          </cell>
          <cell r="V36">
            <v>0</v>
          </cell>
          <cell r="W36">
            <v>0</v>
          </cell>
          <cell r="X36">
            <v>0</v>
          </cell>
          <cell r="Y36">
            <v>0</v>
          </cell>
          <cell r="Z36">
            <v>0</v>
          </cell>
          <cell r="AA36">
            <v>0</v>
          </cell>
          <cell r="AB36">
            <v>0</v>
          </cell>
          <cell r="AC36">
            <v>0</v>
          </cell>
          <cell r="AD36">
            <v>0</v>
          </cell>
        </row>
        <row r="37">
          <cell r="B37" t="str">
            <v>FY14-Univ Cash</v>
          </cell>
          <cell r="C37" t="str">
            <v>Univ Cash</v>
          </cell>
          <cell r="D37">
            <v>0</v>
          </cell>
          <cell r="E37">
            <v>0</v>
          </cell>
          <cell r="F37">
            <v>0</v>
          </cell>
          <cell r="G37">
            <v>0</v>
          </cell>
          <cell r="H37">
            <v>0</v>
          </cell>
          <cell r="I37">
            <v>0</v>
          </cell>
          <cell r="J37">
            <v>0</v>
          </cell>
          <cell r="K37">
            <v>0</v>
          </cell>
          <cell r="L37">
            <v>0</v>
          </cell>
          <cell r="M37">
            <v>0</v>
          </cell>
          <cell r="N37">
            <v>0</v>
          </cell>
          <cell r="O37">
            <v>0</v>
          </cell>
          <cell r="P37">
            <v>0</v>
          </cell>
          <cell r="R37" t="str">
            <v>FY14-Univ Cash</v>
          </cell>
          <cell r="S37">
            <v>0</v>
          </cell>
          <cell r="T37">
            <v>0</v>
          </cell>
          <cell r="U37">
            <v>0</v>
          </cell>
          <cell r="V37">
            <v>0</v>
          </cell>
          <cell r="W37">
            <v>0</v>
          </cell>
          <cell r="X37">
            <v>0</v>
          </cell>
          <cell r="Y37">
            <v>0</v>
          </cell>
          <cell r="Z37">
            <v>0</v>
          </cell>
          <cell r="AA37">
            <v>0</v>
          </cell>
          <cell r="AB37">
            <v>0</v>
          </cell>
          <cell r="AC37">
            <v>0</v>
          </cell>
          <cell r="AD37">
            <v>0</v>
          </cell>
        </row>
        <row r="38">
          <cell r="B38" t="str">
            <v>FY14-CIO PBA</v>
          </cell>
          <cell r="C38" t="str">
            <v>CIO PBA</v>
          </cell>
          <cell r="D38">
            <v>0</v>
          </cell>
          <cell r="E38">
            <v>0</v>
          </cell>
          <cell r="F38">
            <v>0</v>
          </cell>
          <cell r="G38">
            <v>0</v>
          </cell>
          <cell r="H38">
            <v>0</v>
          </cell>
          <cell r="I38">
            <v>0</v>
          </cell>
          <cell r="J38">
            <v>0</v>
          </cell>
          <cell r="K38">
            <v>0</v>
          </cell>
          <cell r="L38">
            <v>0</v>
          </cell>
          <cell r="M38">
            <v>0</v>
          </cell>
          <cell r="N38">
            <v>0</v>
          </cell>
          <cell r="O38">
            <v>0</v>
          </cell>
          <cell r="P38">
            <v>0</v>
          </cell>
          <cell r="R38" t="str">
            <v>FY14-CIO PBA</v>
          </cell>
          <cell r="S38">
            <v>0</v>
          </cell>
          <cell r="T38">
            <v>0</v>
          </cell>
          <cell r="U38">
            <v>0</v>
          </cell>
          <cell r="V38">
            <v>0</v>
          </cell>
          <cell r="W38">
            <v>0</v>
          </cell>
          <cell r="X38">
            <v>0</v>
          </cell>
          <cell r="Y38">
            <v>0</v>
          </cell>
          <cell r="Z38">
            <v>0</v>
          </cell>
          <cell r="AA38">
            <v>0</v>
          </cell>
          <cell r="AB38">
            <v>0</v>
          </cell>
          <cell r="AC38">
            <v>0</v>
          </cell>
          <cell r="AD38">
            <v>0</v>
          </cell>
        </row>
        <row r="39">
          <cell r="B39" t="str">
            <v>FY14-CIO Cash</v>
          </cell>
          <cell r="C39" t="str">
            <v>CIO Cash</v>
          </cell>
          <cell r="D39">
            <v>0</v>
          </cell>
          <cell r="E39">
            <v>0</v>
          </cell>
          <cell r="F39">
            <v>0</v>
          </cell>
          <cell r="G39">
            <v>0</v>
          </cell>
          <cell r="H39">
            <v>0</v>
          </cell>
          <cell r="I39">
            <v>0</v>
          </cell>
          <cell r="J39">
            <v>0</v>
          </cell>
          <cell r="K39">
            <v>0</v>
          </cell>
          <cell r="L39">
            <v>0</v>
          </cell>
          <cell r="M39">
            <v>0</v>
          </cell>
          <cell r="N39">
            <v>0</v>
          </cell>
          <cell r="O39">
            <v>0</v>
          </cell>
          <cell r="P39">
            <v>0</v>
          </cell>
          <cell r="R39" t="str">
            <v>FY14-CIO Cash</v>
          </cell>
          <cell r="S39">
            <v>0</v>
          </cell>
          <cell r="T39">
            <v>0</v>
          </cell>
          <cell r="U39">
            <v>0</v>
          </cell>
          <cell r="V39">
            <v>0</v>
          </cell>
          <cell r="W39">
            <v>0</v>
          </cell>
          <cell r="X39">
            <v>0</v>
          </cell>
          <cell r="Y39">
            <v>0</v>
          </cell>
          <cell r="Z39">
            <v>0</v>
          </cell>
          <cell r="AA39">
            <v>0</v>
          </cell>
          <cell r="AB39">
            <v>0</v>
          </cell>
          <cell r="AC39">
            <v>0</v>
          </cell>
          <cell r="AD39">
            <v>0</v>
          </cell>
        </row>
        <row r="40">
          <cell r="B40" t="str">
            <v>FY14-Other Cash</v>
          </cell>
          <cell r="C40" t="str">
            <v>Other Cash</v>
          </cell>
          <cell r="D40">
            <v>0</v>
          </cell>
          <cell r="E40">
            <v>0</v>
          </cell>
          <cell r="F40">
            <v>0</v>
          </cell>
          <cell r="G40">
            <v>0</v>
          </cell>
          <cell r="H40">
            <v>0</v>
          </cell>
          <cell r="I40">
            <v>0</v>
          </cell>
          <cell r="J40">
            <v>0</v>
          </cell>
          <cell r="K40">
            <v>0</v>
          </cell>
          <cell r="L40">
            <v>0</v>
          </cell>
          <cell r="M40">
            <v>0</v>
          </cell>
          <cell r="N40">
            <v>0</v>
          </cell>
          <cell r="O40">
            <v>0</v>
          </cell>
          <cell r="P40">
            <v>0</v>
          </cell>
          <cell r="R40" t="str">
            <v>FY14-Other Cash</v>
          </cell>
          <cell r="S40">
            <v>0</v>
          </cell>
          <cell r="T40">
            <v>0</v>
          </cell>
          <cell r="U40">
            <v>0</v>
          </cell>
          <cell r="V40">
            <v>0</v>
          </cell>
          <cell r="W40">
            <v>0</v>
          </cell>
          <cell r="X40">
            <v>0</v>
          </cell>
          <cell r="Y40">
            <v>0</v>
          </cell>
          <cell r="Z40">
            <v>0</v>
          </cell>
          <cell r="AA40">
            <v>0</v>
          </cell>
          <cell r="AB40">
            <v>0</v>
          </cell>
          <cell r="AC40">
            <v>0</v>
          </cell>
          <cell r="AD40">
            <v>0</v>
          </cell>
        </row>
        <row r="41">
          <cell r="B41" t="str">
            <v>FY14-Donated Resources</v>
          </cell>
          <cell r="C41" t="str">
            <v>Donated Resources</v>
          </cell>
          <cell r="D41">
            <v>0</v>
          </cell>
          <cell r="E41">
            <v>0</v>
          </cell>
          <cell r="F41">
            <v>0</v>
          </cell>
          <cell r="G41">
            <v>0</v>
          </cell>
          <cell r="H41">
            <v>0</v>
          </cell>
          <cell r="I41">
            <v>0</v>
          </cell>
          <cell r="J41">
            <v>0</v>
          </cell>
          <cell r="K41">
            <v>0</v>
          </cell>
          <cell r="L41">
            <v>0</v>
          </cell>
          <cell r="M41">
            <v>0</v>
          </cell>
          <cell r="N41">
            <v>0</v>
          </cell>
          <cell r="O41">
            <v>0</v>
          </cell>
          <cell r="P41">
            <v>0</v>
          </cell>
          <cell r="R41" t="str">
            <v>FY14-Donated Resources</v>
          </cell>
          <cell r="S41">
            <v>0</v>
          </cell>
          <cell r="T41">
            <v>0</v>
          </cell>
          <cell r="U41">
            <v>0</v>
          </cell>
          <cell r="V41">
            <v>0</v>
          </cell>
          <cell r="W41">
            <v>0</v>
          </cell>
          <cell r="X41">
            <v>0</v>
          </cell>
          <cell r="Y41">
            <v>0</v>
          </cell>
          <cell r="Z41">
            <v>0</v>
          </cell>
          <cell r="AA41">
            <v>0</v>
          </cell>
          <cell r="AB41">
            <v>0</v>
          </cell>
          <cell r="AC41">
            <v>0</v>
          </cell>
          <cell r="AD41">
            <v>0</v>
          </cell>
        </row>
        <row r="42">
          <cell r="B42" t="str">
            <v>FY14-Other non-Cash</v>
          </cell>
          <cell r="C42" t="str">
            <v>Other non-Cash</v>
          </cell>
          <cell r="D42">
            <v>0</v>
          </cell>
          <cell r="E42">
            <v>0</v>
          </cell>
          <cell r="F42">
            <v>0</v>
          </cell>
          <cell r="G42">
            <v>0</v>
          </cell>
          <cell r="H42">
            <v>0</v>
          </cell>
          <cell r="I42">
            <v>0</v>
          </cell>
          <cell r="J42">
            <v>0</v>
          </cell>
          <cell r="K42">
            <v>0</v>
          </cell>
          <cell r="L42">
            <v>0</v>
          </cell>
          <cell r="M42">
            <v>0</v>
          </cell>
          <cell r="N42">
            <v>0</v>
          </cell>
          <cell r="O42">
            <v>0</v>
          </cell>
          <cell r="P42">
            <v>0</v>
          </cell>
          <cell r="R42" t="str">
            <v>FY14-Other non-Cash</v>
          </cell>
          <cell r="S42">
            <v>0</v>
          </cell>
          <cell r="T42">
            <v>0</v>
          </cell>
          <cell r="U42">
            <v>0</v>
          </cell>
          <cell r="V42">
            <v>0</v>
          </cell>
          <cell r="W42">
            <v>0</v>
          </cell>
          <cell r="X42">
            <v>0</v>
          </cell>
          <cell r="Y42">
            <v>0</v>
          </cell>
          <cell r="Z42">
            <v>0</v>
          </cell>
          <cell r="AA42">
            <v>0</v>
          </cell>
          <cell r="AB42">
            <v>0</v>
          </cell>
          <cell r="AC42">
            <v>0</v>
          </cell>
          <cell r="AD42">
            <v>0</v>
          </cell>
        </row>
        <row r="43">
          <cell r="B43" t="str">
            <v>FY14-Total Cash-Based</v>
          </cell>
          <cell r="C43" t="str">
            <v>Total Cash-Based</v>
          </cell>
          <cell r="D43">
            <v>0</v>
          </cell>
          <cell r="E43">
            <v>0</v>
          </cell>
          <cell r="F43">
            <v>0</v>
          </cell>
          <cell r="G43">
            <v>0</v>
          </cell>
          <cell r="H43">
            <v>0</v>
          </cell>
          <cell r="I43">
            <v>0</v>
          </cell>
          <cell r="J43">
            <v>0</v>
          </cell>
          <cell r="K43">
            <v>0</v>
          </cell>
          <cell r="L43">
            <v>0</v>
          </cell>
          <cell r="M43">
            <v>0</v>
          </cell>
          <cell r="N43">
            <v>0</v>
          </cell>
          <cell r="O43">
            <v>0</v>
          </cell>
          <cell r="P43">
            <v>0</v>
          </cell>
          <cell r="R43" t="str">
            <v>FY14-Total Cash-Based</v>
          </cell>
          <cell r="S43">
            <v>0</v>
          </cell>
          <cell r="T43">
            <v>0</v>
          </cell>
          <cell r="U43">
            <v>0</v>
          </cell>
          <cell r="V43">
            <v>0</v>
          </cell>
          <cell r="W43">
            <v>0</v>
          </cell>
          <cell r="X43">
            <v>0</v>
          </cell>
          <cell r="Y43">
            <v>0</v>
          </cell>
          <cell r="Z43">
            <v>0</v>
          </cell>
          <cell r="AA43">
            <v>0</v>
          </cell>
          <cell r="AB43">
            <v>0</v>
          </cell>
          <cell r="AC43">
            <v>0</v>
          </cell>
          <cell r="AD43">
            <v>0</v>
          </cell>
        </row>
        <row r="44">
          <cell r="B44" t="str">
            <v>FY14-Total non-Cash Based</v>
          </cell>
          <cell r="C44" t="str">
            <v>Total non-Cash Based</v>
          </cell>
          <cell r="D44">
            <v>0</v>
          </cell>
          <cell r="E44">
            <v>0</v>
          </cell>
          <cell r="F44">
            <v>0</v>
          </cell>
          <cell r="G44">
            <v>0</v>
          </cell>
          <cell r="H44">
            <v>0</v>
          </cell>
          <cell r="I44">
            <v>0</v>
          </cell>
          <cell r="J44">
            <v>0</v>
          </cell>
          <cell r="K44">
            <v>0</v>
          </cell>
          <cell r="L44">
            <v>0</v>
          </cell>
          <cell r="M44">
            <v>0</v>
          </cell>
          <cell r="N44">
            <v>0</v>
          </cell>
          <cell r="O44">
            <v>0</v>
          </cell>
          <cell r="P44">
            <v>0</v>
          </cell>
          <cell r="R44" t="str">
            <v>FY14-Total non-Cash Based</v>
          </cell>
          <cell r="S44">
            <v>0</v>
          </cell>
          <cell r="T44">
            <v>0</v>
          </cell>
          <cell r="U44">
            <v>0</v>
          </cell>
          <cell r="V44">
            <v>0</v>
          </cell>
          <cell r="W44">
            <v>0</v>
          </cell>
          <cell r="X44">
            <v>0</v>
          </cell>
          <cell r="Y44">
            <v>0</v>
          </cell>
          <cell r="Z44">
            <v>0</v>
          </cell>
          <cell r="AA44">
            <v>0</v>
          </cell>
          <cell r="AB44">
            <v>0</v>
          </cell>
          <cell r="AC44">
            <v>0</v>
          </cell>
          <cell r="AD44">
            <v>0</v>
          </cell>
        </row>
        <row r="45">
          <cell r="B45" t="str">
            <v>FY14-Grand total</v>
          </cell>
          <cell r="C45" t="str">
            <v>Grand total</v>
          </cell>
          <cell r="D45">
            <v>0</v>
          </cell>
          <cell r="E45">
            <v>0</v>
          </cell>
          <cell r="F45">
            <v>0</v>
          </cell>
          <cell r="G45">
            <v>0</v>
          </cell>
          <cell r="H45">
            <v>0</v>
          </cell>
          <cell r="I45">
            <v>0</v>
          </cell>
          <cell r="J45">
            <v>0</v>
          </cell>
          <cell r="K45">
            <v>0</v>
          </cell>
          <cell r="L45">
            <v>0</v>
          </cell>
          <cell r="M45">
            <v>0</v>
          </cell>
          <cell r="N45">
            <v>0</v>
          </cell>
          <cell r="O45">
            <v>0</v>
          </cell>
          <cell r="P45">
            <v>0</v>
          </cell>
          <cell r="R45" t="str">
            <v>FY14-Grand total</v>
          </cell>
          <cell r="S45">
            <v>0</v>
          </cell>
          <cell r="T45">
            <v>0</v>
          </cell>
          <cell r="U45">
            <v>0</v>
          </cell>
          <cell r="V45">
            <v>0</v>
          </cell>
          <cell r="W45">
            <v>0</v>
          </cell>
          <cell r="X45">
            <v>0</v>
          </cell>
          <cell r="Y45">
            <v>0</v>
          </cell>
          <cell r="Z45">
            <v>0</v>
          </cell>
          <cell r="AA45">
            <v>0</v>
          </cell>
          <cell r="AB45">
            <v>0</v>
          </cell>
          <cell r="AC45">
            <v>0</v>
          </cell>
          <cell r="AD45">
            <v>0</v>
          </cell>
        </row>
        <row r="46">
          <cell r="B46" t="str">
            <v>FY15-Univ PBA</v>
          </cell>
          <cell r="C46" t="str">
            <v>Univ PBA</v>
          </cell>
          <cell r="D46">
            <v>0</v>
          </cell>
          <cell r="E46">
            <v>0</v>
          </cell>
          <cell r="F46">
            <v>0</v>
          </cell>
          <cell r="G46">
            <v>0</v>
          </cell>
          <cell r="H46">
            <v>0</v>
          </cell>
          <cell r="I46">
            <v>0</v>
          </cell>
          <cell r="J46">
            <v>0</v>
          </cell>
          <cell r="K46">
            <v>0</v>
          </cell>
          <cell r="L46">
            <v>0</v>
          </cell>
          <cell r="M46">
            <v>0</v>
          </cell>
          <cell r="N46">
            <v>0</v>
          </cell>
          <cell r="O46">
            <v>0</v>
          </cell>
          <cell r="P46">
            <v>0</v>
          </cell>
          <cell r="R46" t="str">
            <v>FY15-Univ PBA</v>
          </cell>
          <cell r="S46">
            <v>0</v>
          </cell>
          <cell r="T46">
            <v>0</v>
          </cell>
          <cell r="U46">
            <v>0</v>
          </cell>
          <cell r="V46">
            <v>0</v>
          </cell>
          <cell r="W46">
            <v>0</v>
          </cell>
          <cell r="X46">
            <v>0</v>
          </cell>
          <cell r="Y46">
            <v>0</v>
          </cell>
          <cell r="Z46">
            <v>0</v>
          </cell>
          <cell r="AA46">
            <v>0</v>
          </cell>
          <cell r="AB46">
            <v>0</v>
          </cell>
          <cell r="AC46">
            <v>0</v>
          </cell>
          <cell r="AD46">
            <v>0</v>
          </cell>
        </row>
        <row r="47">
          <cell r="B47" t="str">
            <v>FY15-Univ Cash</v>
          </cell>
          <cell r="C47" t="str">
            <v>Univ Cash</v>
          </cell>
          <cell r="D47">
            <v>0</v>
          </cell>
          <cell r="E47">
            <v>0</v>
          </cell>
          <cell r="F47">
            <v>0</v>
          </cell>
          <cell r="G47">
            <v>0</v>
          </cell>
          <cell r="H47">
            <v>0</v>
          </cell>
          <cell r="I47">
            <v>0</v>
          </cell>
          <cell r="J47">
            <v>0</v>
          </cell>
          <cell r="K47">
            <v>0</v>
          </cell>
          <cell r="L47">
            <v>0</v>
          </cell>
          <cell r="M47">
            <v>0</v>
          </cell>
          <cell r="N47">
            <v>0</v>
          </cell>
          <cell r="O47">
            <v>0</v>
          </cell>
          <cell r="P47">
            <v>0</v>
          </cell>
          <cell r="R47" t="str">
            <v>FY15-Univ Cash</v>
          </cell>
          <cell r="S47">
            <v>0</v>
          </cell>
          <cell r="T47">
            <v>0</v>
          </cell>
          <cell r="U47">
            <v>0</v>
          </cell>
          <cell r="V47">
            <v>0</v>
          </cell>
          <cell r="W47">
            <v>0</v>
          </cell>
          <cell r="X47">
            <v>0</v>
          </cell>
          <cell r="Y47">
            <v>0</v>
          </cell>
          <cell r="Z47">
            <v>0</v>
          </cell>
          <cell r="AA47">
            <v>0</v>
          </cell>
          <cell r="AB47">
            <v>0</v>
          </cell>
          <cell r="AC47">
            <v>0</v>
          </cell>
          <cell r="AD47">
            <v>0</v>
          </cell>
        </row>
        <row r="48">
          <cell r="B48" t="str">
            <v>FY15-CIO PBA</v>
          </cell>
          <cell r="C48" t="str">
            <v>CIO PBA</v>
          </cell>
          <cell r="D48">
            <v>0</v>
          </cell>
          <cell r="E48">
            <v>0</v>
          </cell>
          <cell r="F48">
            <v>0</v>
          </cell>
          <cell r="G48">
            <v>0</v>
          </cell>
          <cell r="H48">
            <v>0</v>
          </cell>
          <cell r="I48">
            <v>0</v>
          </cell>
          <cell r="J48">
            <v>0</v>
          </cell>
          <cell r="K48">
            <v>0</v>
          </cell>
          <cell r="L48">
            <v>0</v>
          </cell>
          <cell r="M48">
            <v>0</v>
          </cell>
          <cell r="N48">
            <v>0</v>
          </cell>
          <cell r="O48">
            <v>0</v>
          </cell>
          <cell r="P48">
            <v>0</v>
          </cell>
          <cell r="R48" t="str">
            <v>FY15-CIO PBA</v>
          </cell>
          <cell r="S48">
            <v>0</v>
          </cell>
          <cell r="T48">
            <v>0</v>
          </cell>
          <cell r="U48">
            <v>0</v>
          </cell>
          <cell r="V48">
            <v>0</v>
          </cell>
          <cell r="W48">
            <v>0</v>
          </cell>
          <cell r="X48">
            <v>0</v>
          </cell>
          <cell r="Y48">
            <v>0</v>
          </cell>
          <cell r="Z48">
            <v>0</v>
          </cell>
          <cell r="AA48">
            <v>0</v>
          </cell>
          <cell r="AB48">
            <v>0</v>
          </cell>
          <cell r="AC48">
            <v>0</v>
          </cell>
          <cell r="AD48">
            <v>0</v>
          </cell>
        </row>
        <row r="49">
          <cell r="B49" t="str">
            <v>FY15-CIO Cash</v>
          </cell>
          <cell r="C49" t="str">
            <v>CIO Cash</v>
          </cell>
          <cell r="D49">
            <v>0</v>
          </cell>
          <cell r="E49">
            <v>0</v>
          </cell>
          <cell r="F49">
            <v>0</v>
          </cell>
          <cell r="G49">
            <v>0</v>
          </cell>
          <cell r="H49">
            <v>0</v>
          </cell>
          <cell r="I49">
            <v>0</v>
          </cell>
          <cell r="J49">
            <v>0</v>
          </cell>
          <cell r="K49">
            <v>0</v>
          </cell>
          <cell r="L49">
            <v>0</v>
          </cell>
          <cell r="M49">
            <v>0</v>
          </cell>
          <cell r="N49">
            <v>0</v>
          </cell>
          <cell r="O49">
            <v>0</v>
          </cell>
          <cell r="P49">
            <v>0</v>
          </cell>
          <cell r="R49" t="str">
            <v>FY15-CIO Cash</v>
          </cell>
          <cell r="S49">
            <v>0</v>
          </cell>
          <cell r="T49">
            <v>0</v>
          </cell>
          <cell r="U49">
            <v>0</v>
          </cell>
          <cell r="V49">
            <v>0</v>
          </cell>
          <cell r="W49">
            <v>0</v>
          </cell>
          <cell r="X49">
            <v>0</v>
          </cell>
          <cell r="Y49">
            <v>0</v>
          </cell>
          <cell r="Z49">
            <v>0</v>
          </cell>
          <cell r="AA49">
            <v>0</v>
          </cell>
          <cell r="AB49">
            <v>0</v>
          </cell>
          <cell r="AC49">
            <v>0</v>
          </cell>
          <cell r="AD49">
            <v>0</v>
          </cell>
        </row>
        <row r="50">
          <cell r="B50" t="str">
            <v>FY15-Other Cash</v>
          </cell>
          <cell r="C50" t="str">
            <v>Other Cash</v>
          </cell>
          <cell r="D50">
            <v>0</v>
          </cell>
          <cell r="E50">
            <v>0</v>
          </cell>
          <cell r="F50">
            <v>0</v>
          </cell>
          <cell r="G50">
            <v>0</v>
          </cell>
          <cell r="H50">
            <v>0</v>
          </cell>
          <cell r="I50">
            <v>0</v>
          </cell>
          <cell r="J50">
            <v>0</v>
          </cell>
          <cell r="K50">
            <v>0</v>
          </cell>
          <cell r="L50">
            <v>0</v>
          </cell>
          <cell r="M50">
            <v>0</v>
          </cell>
          <cell r="N50">
            <v>0</v>
          </cell>
          <cell r="O50">
            <v>0</v>
          </cell>
          <cell r="P50">
            <v>0</v>
          </cell>
          <cell r="R50" t="str">
            <v>FY15-Other Cash</v>
          </cell>
          <cell r="S50">
            <v>0</v>
          </cell>
          <cell r="T50">
            <v>0</v>
          </cell>
          <cell r="U50">
            <v>0</v>
          </cell>
          <cell r="V50">
            <v>0</v>
          </cell>
          <cell r="W50">
            <v>0</v>
          </cell>
          <cell r="X50">
            <v>0</v>
          </cell>
          <cell r="Y50">
            <v>0</v>
          </cell>
          <cell r="Z50">
            <v>0</v>
          </cell>
          <cell r="AA50">
            <v>0</v>
          </cell>
          <cell r="AB50">
            <v>0</v>
          </cell>
          <cell r="AC50">
            <v>0</v>
          </cell>
          <cell r="AD50">
            <v>0</v>
          </cell>
        </row>
        <row r="51">
          <cell r="B51" t="str">
            <v>FY15-Donated Resources</v>
          </cell>
          <cell r="C51" t="str">
            <v>Donated Resources</v>
          </cell>
          <cell r="D51">
            <v>0</v>
          </cell>
          <cell r="E51">
            <v>0</v>
          </cell>
          <cell r="F51">
            <v>0</v>
          </cell>
          <cell r="G51">
            <v>0</v>
          </cell>
          <cell r="H51">
            <v>0</v>
          </cell>
          <cell r="I51">
            <v>0</v>
          </cell>
          <cell r="J51">
            <v>0</v>
          </cell>
          <cell r="K51">
            <v>0</v>
          </cell>
          <cell r="L51">
            <v>0</v>
          </cell>
          <cell r="M51">
            <v>0</v>
          </cell>
          <cell r="N51">
            <v>0</v>
          </cell>
          <cell r="O51">
            <v>0</v>
          </cell>
          <cell r="P51">
            <v>0</v>
          </cell>
          <cell r="R51" t="str">
            <v>FY15-Donated Resources</v>
          </cell>
          <cell r="S51">
            <v>0</v>
          </cell>
          <cell r="T51">
            <v>0</v>
          </cell>
          <cell r="U51">
            <v>0</v>
          </cell>
          <cell r="V51">
            <v>0</v>
          </cell>
          <cell r="W51">
            <v>0</v>
          </cell>
          <cell r="X51">
            <v>0</v>
          </cell>
          <cell r="Y51">
            <v>0</v>
          </cell>
          <cell r="Z51">
            <v>0</v>
          </cell>
          <cell r="AA51">
            <v>0</v>
          </cell>
          <cell r="AB51">
            <v>0</v>
          </cell>
          <cell r="AC51">
            <v>0</v>
          </cell>
          <cell r="AD51">
            <v>0</v>
          </cell>
        </row>
        <row r="52">
          <cell r="B52" t="str">
            <v>FY15-Other non-Cash</v>
          </cell>
          <cell r="C52" t="str">
            <v>Other non-Cash</v>
          </cell>
          <cell r="D52">
            <v>0</v>
          </cell>
          <cell r="E52">
            <v>0</v>
          </cell>
          <cell r="F52">
            <v>0</v>
          </cell>
          <cell r="G52">
            <v>0</v>
          </cell>
          <cell r="H52">
            <v>0</v>
          </cell>
          <cell r="I52">
            <v>0</v>
          </cell>
          <cell r="J52">
            <v>0</v>
          </cell>
          <cell r="K52">
            <v>0</v>
          </cell>
          <cell r="L52">
            <v>0</v>
          </cell>
          <cell r="M52">
            <v>0</v>
          </cell>
          <cell r="N52">
            <v>0</v>
          </cell>
          <cell r="O52">
            <v>0</v>
          </cell>
          <cell r="P52">
            <v>0</v>
          </cell>
          <cell r="R52" t="str">
            <v>FY15-Other non-Cash</v>
          </cell>
          <cell r="S52">
            <v>0</v>
          </cell>
          <cell r="T52">
            <v>0</v>
          </cell>
          <cell r="U52">
            <v>0</v>
          </cell>
          <cell r="V52">
            <v>0</v>
          </cell>
          <cell r="W52">
            <v>0</v>
          </cell>
          <cell r="X52">
            <v>0</v>
          </cell>
          <cell r="Y52">
            <v>0</v>
          </cell>
          <cell r="Z52">
            <v>0</v>
          </cell>
          <cell r="AA52">
            <v>0</v>
          </cell>
          <cell r="AB52">
            <v>0</v>
          </cell>
          <cell r="AC52">
            <v>0</v>
          </cell>
          <cell r="AD52">
            <v>0</v>
          </cell>
        </row>
        <row r="53">
          <cell r="B53" t="str">
            <v>FY15-Total Cash-Based</v>
          </cell>
          <cell r="C53" t="str">
            <v>Total Cash-Based</v>
          </cell>
          <cell r="D53">
            <v>0</v>
          </cell>
          <cell r="E53">
            <v>0</v>
          </cell>
          <cell r="F53">
            <v>0</v>
          </cell>
          <cell r="G53">
            <v>0</v>
          </cell>
          <cell r="H53">
            <v>0</v>
          </cell>
          <cell r="I53">
            <v>0</v>
          </cell>
          <cell r="J53">
            <v>0</v>
          </cell>
          <cell r="K53">
            <v>0</v>
          </cell>
          <cell r="L53">
            <v>0</v>
          </cell>
          <cell r="M53">
            <v>0</v>
          </cell>
          <cell r="N53">
            <v>0</v>
          </cell>
          <cell r="O53">
            <v>0</v>
          </cell>
          <cell r="P53">
            <v>0</v>
          </cell>
          <cell r="R53" t="str">
            <v>FY15-Total Cash-Based</v>
          </cell>
          <cell r="S53">
            <v>0</v>
          </cell>
          <cell r="T53">
            <v>0</v>
          </cell>
          <cell r="U53">
            <v>0</v>
          </cell>
          <cell r="V53">
            <v>0</v>
          </cell>
          <cell r="W53">
            <v>0</v>
          </cell>
          <cell r="X53">
            <v>0</v>
          </cell>
          <cell r="Y53">
            <v>0</v>
          </cell>
          <cell r="Z53">
            <v>0</v>
          </cell>
          <cell r="AA53">
            <v>0</v>
          </cell>
          <cell r="AB53">
            <v>0</v>
          </cell>
          <cell r="AC53">
            <v>0</v>
          </cell>
          <cell r="AD53">
            <v>0</v>
          </cell>
        </row>
        <row r="54">
          <cell r="B54" t="str">
            <v>FY15-Total non-Cash Based</v>
          </cell>
          <cell r="C54" t="str">
            <v>Total non-Cash Based</v>
          </cell>
          <cell r="D54">
            <v>0</v>
          </cell>
          <cell r="E54">
            <v>0</v>
          </cell>
          <cell r="F54">
            <v>0</v>
          </cell>
          <cell r="G54">
            <v>0</v>
          </cell>
          <cell r="H54">
            <v>0</v>
          </cell>
          <cell r="I54">
            <v>0</v>
          </cell>
          <cell r="J54">
            <v>0</v>
          </cell>
          <cell r="K54">
            <v>0</v>
          </cell>
          <cell r="L54">
            <v>0</v>
          </cell>
          <cell r="M54">
            <v>0</v>
          </cell>
          <cell r="N54">
            <v>0</v>
          </cell>
          <cell r="O54">
            <v>0</v>
          </cell>
          <cell r="P54">
            <v>0</v>
          </cell>
          <cell r="R54" t="str">
            <v>FY15-Total non-Cash Based</v>
          </cell>
          <cell r="S54">
            <v>0</v>
          </cell>
          <cell r="T54">
            <v>0</v>
          </cell>
          <cell r="U54">
            <v>0</v>
          </cell>
          <cell r="V54">
            <v>0</v>
          </cell>
          <cell r="W54">
            <v>0</v>
          </cell>
          <cell r="X54">
            <v>0</v>
          </cell>
          <cell r="Y54">
            <v>0</v>
          </cell>
          <cell r="Z54">
            <v>0</v>
          </cell>
          <cell r="AA54">
            <v>0</v>
          </cell>
          <cell r="AB54">
            <v>0</v>
          </cell>
          <cell r="AC54">
            <v>0</v>
          </cell>
          <cell r="AD54">
            <v>0</v>
          </cell>
        </row>
        <row r="55">
          <cell r="B55" t="str">
            <v>FY15-Grand total</v>
          </cell>
          <cell r="C55" t="str">
            <v>Grand total</v>
          </cell>
          <cell r="D55">
            <v>0</v>
          </cell>
          <cell r="E55">
            <v>0</v>
          </cell>
          <cell r="F55">
            <v>0</v>
          </cell>
          <cell r="G55">
            <v>0</v>
          </cell>
          <cell r="H55">
            <v>0</v>
          </cell>
          <cell r="I55">
            <v>0</v>
          </cell>
          <cell r="J55">
            <v>0</v>
          </cell>
          <cell r="K55">
            <v>0</v>
          </cell>
          <cell r="L55">
            <v>0</v>
          </cell>
          <cell r="M55">
            <v>0</v>
          </cell>
          <cell r="N55">
            <v>0</v>
          </cell>
          <cell r="O55">
            <v>0</v>
          </cell>
          <cell r="P55">
            <v>0</v>
          </cell>
          <cell r="R55" t="str">
            <v>FY15-Grand total</v>
          </cell>
          <cell r="S55">
            <v>0</v>
          </cell>
          <cell r="T55">
            <v>0</v>
          </cell>
          <cell r="U55">
            <v>0</v>
          </cell>
          <cell r="V55">
            <v>0</v>
          </cell>
          <cell r="W55">
            <v>0</v>
          </cell>
          <cell r="X55">
            <v>0</v>
          </cell>
          <cell r="Y55">
            <v>0</v>
          </cell>
          <cell r="Z55">
            <v>0</v>
          </cell>
          <cell r="AA55">
            <v>0</v>
          </cell>
          <cell r="AB55">
            <v>0</v>
          </cell>
          <cell r="AC55">
            <v>0</v>
          </cell>
          <cell r="AD55">
            <v>0</v>
          </cell>
        </row>
        <row r="56">
          <cell r="B56" t="str">
            <v>FY16-Univ PBA</v>
          </cell>
          <cell r="C56" t="str">
            <v>Univ PBA</v>
          </cell>
          <cell r="D56">
            <v>0</v>
          </cell>
          <cell r="E56">
            <v>0</v>
          </cell>
          <cell r="F56">
            <v>0</v>
          </cell>
          <cell r="G56">
            <v>0</v>
          </cell>
          <cell r="H56">
            <v>0</v>
          </cell>
          <cell r="I56">
            <v>0</v>
          </cell>
          <cell r="J56">
            <v>0</v>
          </cell>
          <cell r="K56">
            <v>0</v>
          </cell>
          <cell r="L56">
            <v>0</v>
          </cell>
          <cell r="M56">
            <v>0</v>
          </cell>
          <cell r="N56">
            <v>0</v>
          </cell>
          <cell r="O56">
            <v>0</v>
          </cell>
          <cell r="P56">
            <v>0</v>
          </cell>
          <cell r="R56" t="str">
            <v>FY16-Univ PBA</v>
          </cell>
          <cell r="S56">
            <v>0</v>
          </cell>
          <cell r="T56">
            <v>0</v>
          </cell>
          <cell r="U56">
            <v>0</v>
          </cell>
          <cell r="V56">
            <v>0</v>
          </cell>
          <cell r="W56">
            <v>0</v>
          </cell>
          <cell r="X56">
            <v>0</v>
          </cell>
          <cell r="Y56">
            <v>0</v>
          </cell>
          <cell r="Z56">
            <v>0</v>
          </cell>
          <cell r="AA56">
            <v>0</v>
          </cell>
          <cell r="AB56">
            <v>0</v>
          </cell>
          <cell r="AC56">
            <v>0</v>
          </cell>
          <cell r="AD56">
            <v>0</v>
          </cell>
        </row>
        <row r="57">
          <cell r="B57" t="str">
            <v>FY16-Univ Cash</v>
          </cell>
          <cell r="C57" t="str">
            <v>Univ Cash</v>
          </cell>
          <cell r="D57">
            <v>0</v>
          </cell>
          <cell r="E57">
            <v>0</v>
          </cell>
          <cell r="F57">
            <v>0</v>
          </cell>
          <cell r="G57">
            <v>0</v>
          </cell>
          <cell r="H57">
            <v>0</v>
          </cell>
          <cell r="I57">
            <v>0</v>
          </cell>
          <cell r="J57">
            <v>0</v>
          </cell>
          <cell r="K57">
            <v>0</v>
          </cell>
          <cell r="L57">
            <v>0</v>
          </cell>
          <cell r="M57">
            <v>0</v>
          </cell>
          <cell r="N57">
            <v>0</v>
          </cell>
          <cell r="O57">
            <v>0</v>
          </cell>
          <cell r="P57">
            <v>0</v>
          </cell>
          <cell r="R57" t="str">
            <v>FY16-Univ Cash</v>
          </cell>
          <cell r="S57">
            <v>0</v>
          </cell>
          <cell r="T57">
            <v>0</v>
          </cell>
          <cell r="U57">
            <v>0</v>
          </cell>
          <cell r="V57">
            <v>0</v>
          </cell>
          <cell r="W57">
            <v>0</v>
          </cell>
          <cell r="X57">
            <v>0</v>
          </cell>
          <cell r="Y57">
            <v>0</v>
          </cell>
          <cell r="Z57">
            <v>0</v>
          </cell>
          <cell r="AA57">
            <v>0</v>
          </cell>
          <cell r="AB57">
            <v>0</v>
          </cell>
          <cell r="AC57">
            <v>0</v>
          </cell>
          <cell r="AD57">
            <v>0</v>
          </cell>
        </row>
        <row r="58">
          <cell r="B58" t="str">
            <v>FY16-CIO PBA</v>
          </cell>
          <cell r="C58" t="str">
            <v>CIO PBA</v>
          </cell>
          <cell r="D58">
            <v>0</v>
          </cell>
          <cell r="E58">
            <v>0</v>
          </cell>
          <cell r="F58">
            <v>0</v>
          </cell>
          <cell r="G58">
            <v>0</v>
          </cell>
          <cell r="H58">
            <v>0</v>
          </cell>
          <cell r="I58">
            <v>0</v>
          </cell>
          <cell r="J58">
            <v>0</v>
          </cell>
          <cell r="K58">
            <v>0</v>
          </cell>
          <cell r="L58">
            <v>0</v>
          </cell>
          <cell r="M58">
            <v>0</v>
          </cell>
          <cell r="N58">
            <v>0</v>
          </cell>
          <cell r="O58">
            <v>0</v>
          </cell>
          <cell r="P58">
            <v>0</v>
          </cell>
          <cell r="R58" t="str">
            <v>FY16-CIO PBA</v>
          </cell>
          <cell r="S58">
            <v>0</v>
          </cell>
          <cell r="T58">
            <v>0</v>
          </cell>
          <cell r="U58">
            <v>0</v>
          </cell>
          <cell r="V58">
            <v>0</v>
          </cell>
          <cell r="W58">
            <v>0</v>
          </cell>
          <cell r="X58">
            <v>0</v>
          </cell>
          <cell r="Y58">
            <v>0</v>
          </cell>
          <cell r="Z58">
            <v>0</v>
          </cell>
          <cell r="AA58">
            <v>0</v>
          </cell>
          <cell r="AB58">
            <v>0</v>
          </cell>
          <cell r="AC58">
            <v>0</v>
          </cell>
          <cell r="AD58">
            <v>0</v>
          </cell>
        </row>
        <row r="59">
          <cell r="B59" t="str">
            <v>FY16-CIO Cash</v>
          </cell>
          <cell r="C59" t="str">
            <v>CIO Cash</v>
          </cell>
          <cell r="D59">
            <v>0</v>
          </cell>
          <cell r="E59">
            <v>0</v>
          </cell>
          <cell r="F59">
            <v>0</v>
          </cell>
          <cell r="G59">
            <v>0</v>
          </cell>
          <cell r="H59">
            <v>0</v>
          </cell>
          <cell r="I59">
            <v>0</v>
          </cell>
          <cell r="J59">
            <v>0</v>
          </cell>
          <cell r="K59">
            <v>0</v>
          </cell>
          <cell r="L59">
            <v>0</v>
          </cell>
          <cell r="M59">
            <v>0</v>
          </cell>
          <cell r="N59">
            <v>0</v>
          </cell>
          <cell r="O59">
            <v>0</v>
          </cell>
          <cell r="P59">
            <v>0</v>
          </cell>
          <cell r="R59" t="str">
            <v>FY16-CIO Cash</v>
          </cell>
          <cell r="S59">
            <v>0</v>
          </cell>
          <cell r="T59">
            <v>0</v>
          </cell>
          <cell r="U59">
            <v>0</v>
          </cell>
          <cell r="V59">
            <v>0</v>
          </cell>
          <cell r="W59">
            <v>0</v>
          </cell>
          <cell r="X59">
            <v>0</v>
          </cell>
          <cell r="Y59">
            <v>0</v>
          </cell>
          <cell r="Z59">
            <v>0</v>
          </cell>
          <cell r="AA59">
            <v>0</v>
          </cell>
          <cell r="AB59">
            <v>0</v>
          </cell>
          <cell r="AC59">
            <v>0</v>
          </cell>
          <cell r="AD59">
            <v>0</v>
          </cell>
        </row>
        <row r="60">
          <cell r="B60" t="str">
            <v>FY16-Other Cash</v>
          </cell>
          <cell r="C60" t="str">
            <v>Other Cash</v>
          </cell>
          <cell r="D60">
            <v>0</v>
          </cell>
          <cell r="E60">
            <v>0</v>
          </cell>
          <cell r="F60">
            <v>0</v>
          </cell>
          <cell r="G60">
            <v>0</v>
          </cell>
          <cell r="H60">
            <v>0</v>
          </cell>
          <cell r="I60">
            <v>0</v>
          </cell>
          <cell r="J60">
            <v>0</v>
          </cell>
          <cell r="K60">
            <v>0</v>
          </cell>
          <cell r="L60">
            <v>0</v>
          </cell>
          <cell r="M60">
            <v>0</v>
          </cell>
          <cell r="N60">
            <v>0</v>
          </cell>
          <cell r="O60">
            <v>0</v>
          </cell>
          <cell r="P60">
            <v>0</v>
          </cell>
          <cell r="R60" t="str">
            <v>FY16-Other Cash</v>
          </cell>
          <cell r="S60">
            <v>0</v>
          </cell>
          <cell r="T60">
            <v>0</v>
          </cell>
          <cell r="U60">
            <v>0</v>
          </cell>
          <cell r="V60">
            <v>0</v>
          </cell>
          <cell r="W60">
            <v>0</v>
          </cell>
          <cell r="X60">
            <v>0</v>
          </cell>
          <cell r="Y60">
            <v>0</v>
          </cell>
          <cell r="Z60">
            <v>0</v>
          </cell>
          <cell r="AA60">
            <v>0</v>
          </cell>
          <cell r="AB60">
            <v>0</v>
          </cell>
          <cell r="AC60">
            <v>0</v>
          </cell>
          <cell r="AD60">
            <v>0</v>
          </cell>
        </row>
        <row r="61">
          <cell r="B61" t="str">
            <v>FY16-Donated Resources</v>
          </cell>
          <cell r="C61" t="str">
            <v>Donated Resources</v>
          </cell>
          <cell r="D61">
            <v>0</v>
          </cell>
          <cell r="E61">
            <v>0</v>
          </cell>
          <cell r="F61">
            <v>0</v>
          </cell>
          <cell r="G61">
            <v>0</v>
          </cell>
          <cell r="H61">
            <v>0</v>
          </cell>
          <cell r="I61">
            <v>0</v>
          </cell>
          <cell r="J61">
            <v>0</v>
          </cell>
          <cell r="K61">
            <v>0</v>
          </cell>
          <cell r="L61">
            <v>0</v>
          </cell>
          <cell r="M61">
            <v>0</v>
          </cell>
          <cell r="N61">
            <v>0</v>
          </cell>
          <cell r="O61">
            <v>0</v>
          </cell>
          <cell r="P61">
            <v>0</v>
          </cell>
          <cell r="R61" t="str">
            <v>FY16-Donated Resources</v>
          </cell>
          <cell r="S61">
            <v>0</v>
          </cell>
          <cell r="T61">
            <v>0</v>
          </cell>
          <cell r="U61">
            <v>0</v>
          </cell>
          <cell r="V61">
            <v>0</v>
          </cell>
          <cell r="W61">
            <v>0</v>
          </cell>
          <cell r="X61">
            <v>0</v>
          </cell>
          <cell r="Y61">
            <v>0</v>
          </cell>
          <cell r="Z61">
            <v>0</v>
          </cell>
          <cell r="AA61">
            <v>0</v>
          </cell>
          <cell r="AB61">
            <v>0</v>
          </cell>
          <cell r="AC61">
            <v>0</v>
          </cell>
          <cell r="AD61">
            <v>0</v>
          </cell>
        </row>
        <row r="62">
          <cell r="B62" t="str">
            <v>FY16-Other non-Cash</v>
          </cell>
          <cell r="C62" t="str">
            <v>Other non-Cash</v>
          </cell>
          <cell r="D62">
            <v>0</v>
          </cell>
          <cell r="E62">
            <v>0</v>
          </cell>
          <cell r="F62">
            <v>0</v>
          </cell>
          <cell r="G62">
            <v>0</v>
          </cell>
          <cell r="H62">
            <v>0</v>
          </cell>
          <cell r="I62">
            <v>0</v>
          </cell>
          <cell r="J62">
            <v>0</v>
          </cell>
          <cell r="K62">
            <v>0</v>
          </cell>
          <cell r="L62">
            <v>0</v>
          </cell>
          <cell r="M62">
            <v>0</v>
          </cell>
          <cell r="N62">
            <v>0</v>
          </cell>
          <cell r="O62">
            <v>0</v>
          </cell>
          <cell r="P62">
            <v>0</v>
          </cell>
          <cell r="R62" t="str">
            <v>FY16-Other non-Cash</v>
          </cell>
          <cell r="S62">
            <v>0</v>
          </cell>
          <cell r="T62">
            <v>0</v>
          </cell>
          <cell r="U62">
            <v>0</v>
          </cell>
          <cell r="V62">
            <v>0</v>
          </cell>
          <cell r="W62">
            <v>0</v>
          </cell>
          <cell r="X62">
            <v>0</v>
          </cell>
          <cell r="Y62">
            <v>0</v>
          </cell>
          <cell r="Z62">
            <v>0</v>
          </cell>
          <cell r="AA62">
            <v>0</v>
          </cell>
          <cell r="AB62">
            <v>0</v>
          </cell>
          <cell r="AC62">
            <v>0</v>
          </cell>
          <cell r="AD62">
            <v>0</v>
          </cell>
        </row>
        <row r="63">
          <cell r="B63" t="str">
            <v>FY16-Total Cash-Based</v>
          </cell>
          <cell r="C63" t="str">
            <v>Total Cash-Based</v>
          </cell>
          <cell r="D63">
            <v>0</v>
          </cell>
          <cell r="E63">
            <v>0</v>
          </cell>
          <cell r="F63">
            <v>0</v>
          </cell>
          <cell r="G63">
            <v>0</v>
          </cell>
          <cell r="H63">
            <v>0</v>
          </cell>
          <cell r="I63">
            <v>0</v>
          </cell>
          <cell r="J63">
            <v>0</v>
          </cell>
          <cell r="K63">
            <v>0</v>
          </cell>
          <cell r="L63">
            <v>0</v>
          </cell>
          <cell r="M63">
            <v>0</v>
          </cell>
          <cell r="N63">
            <v>0</v>
          </cell>
          <cell r="O63">
            <v>0</v>
          </cell>
          <cell r="P63">
            <v>0</v>
          </cell>
          <cell r="R63" t="str">
            <v>FY16-Total Cash-Based</v>
          </cell>
          <cell r="S63">
            <v>0</v>
          </cell>
          <cell r="T63">
            <v>0</v>
          </cell>
          <cell r="U63">
            <v>0</v>
          </cell>
          <cell r="V63">
            <v>0</v>
          </cell>
          <cell r="W63">
            <v>0</v>
          </cell>
          <cell r="X63">
            <v>0</v>
          </cell>
          <cell r="Y63">
            <v>0</v>
          </cell>
          <cell r="Z63">
            <v>0</v>
          </cell>
          <cell r="AA63">
            <v>0</v>
          </cell>
          <cell r="AB63">
            <v>0</v>
          </cell>
          <cell r="AC63">
            <v>0</v>
          </cell>
          <cell r="AD63">
            <v>0</v>
          </cell>
        </row>
        <row r="64">
          <cell r="B64" t="str">
            <v>FY16-Total non-Cash Based</v>
          </cell>
          <cell r="C64" t="str">
            <v>Total non-Cash Based</v>
          </cell>
          <cell r="D64">
            <v>0</v>
          </cell>
          <cell r="E64">
            <v>0</v>
          </cell>
          <cell r="F64">
            <v>0</v>
          </cell>
          <cell r="G64">
            <v>0</v>
          </cell>
          <cell r="H64">
            <v>0</v>
          </cell>
          <cell r="I64">
            <v>0</v>
          </cell>
          <cell r="J64">
            <v>0</v>
          </cell>
          <cell r="K64">
            <v>0</v>
          </cell>
          <cell r="L64">
            <v>0</v>
          </cell>
          <cell r="M64">
            <v>0</v>
          </cell>
          <cell r="N64">
            <v>0</v>
          </cell>
          <cell r="O64">
            <v>0</v>
          </cell>
          <cell r="P64">
            <v>0</v>
          </cell>
          <cell r="R64" t="str">
            <v>FY16-Total non-Cash Based</v>
          </cell>
          <cell r="S64">
            <v>0</v>
          </cell>
          <cell r="T64">
            <v>0</v>
          </cell>
          <cell r="U64">
            <v>0</v>
          </cell>
          <cell r="V64">
            <v>0</v>
          </cell>
          <cell r="W64">
            <v>0</v>
          </cell>
          <cell r="X64">
            <v>0</v>
          </cell>
          <cell r="Y64">
            <v>0</v>
          </cell>
          <cell r="Z64">
            <v>0</v>
          </cell>
          <cell r="AA64">
            <v>0</v>
          </cell>
          <cell r="AB64">
            <v>0</v>
          </cell>
          <cell r="AC64">
            <v>0</v>
          </cell>
          <cell r="AD64">
            <v>0</v>
          </cell>
        </row>
        <row r="65">
          <cell r="B65" t="str">
            <v>FY16-Grand total</v>
          </cell>
          <cell r="C65" t="str">
            <v>Grand total</v>
          </cell>
          <cell r="D65">
            <v>0</v>
          </cell>
          <cell r="E65">
            <v>0</v>
          </cell>
          <cell r="F65">
            <v>0</v>
          </cell>
          <cell r="G65">
            <v>0</v>
          </cell>
          <cell r="H65">
            <v>0</v>
          </cell>
          <cell r="I65">
            <v>0</v>
          </cell>
          <cell r="J65">
            <v>0</v>
          </cell>
          <cell r="K65">
            <v>0</v>
          </cell>
          <cell r="L65">
            <v>0</v>
          </cell>
          <cell r="M65">
            <v>0</v>
          </cell>
          <cell r="N65">
            <v>0</v>
          </cell>
          <cell r="O65">
            <v>0</v>
          </cell>
          <cell r="P65">
            <v>0</v>
          </cell>
          <cell r="R65" t="str">
            <v>FY16-Grand total</v>
          </cell>
          <cell r="S65">
            <v>0</v>
          </cell>
          <cell r="T65">
            <v>0</v>
          </cell>
          <cell r="U65">
            <v>0</v>
          </cell>
          <cell r="V65">
            <v>0</v>
          </cell>
          <cell r="W65">
            <v>0</v>
          </cell>
          <cell r="X65">
            <v>0</v>
          </cell>
          <cell r="Y65">
            <v>0</v>
          </cell>
          <cell r="Z65">
            <v>0</v>
          </cell>
          <cell r="AA65">
            <v>0</v>
          </cell>
          <cell r="AB65">
            <v>0</v>
          </cell>
          <cell r="AC65">
            <v>0</v>
          </cell>
          <cell r="AD65">
            <v>0</v>
          </cell>
        </row>
        <row r="67">
          <cell r="B67" t="str">
            <v>Total-Univ PBA</v>
          </cell>
          <cell r="C67" t="str">
            <v>Univ PBA</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Total-Univ Cash</v>
          </cell>
          <cell r="C68" t="str">
            <v>Univ Cash</v>
          </cell>
          <cell r="D68">
            <v>0</v>
          </cell>
          <cell r="E68">
            <v>0</v>
          </cell>
          <cell r="F68">
            <v>0</v>
          </cell>
          <cell r="G68">
            <v>0</v>
          </cell>
          <cell r="H68">
            <v>0</v>
          </cell>
          <cell r="I68">
            <v>0</v>
          </cell>
          <cell r="J68">
            <v>0</v>
          </cell>
          <cell r="K68">
            <v>0</v>
          </cell>
          <cell r="L68">
            <v>0</v>
          </cell>
          <cell r="M68">
            <v>0</v>
          </cell>
          <cell r="N68">
            <v>0</v>
          </cell>
          <cell r="O68">
            <v>0</v>
          </cell>
          <cell r="P68">
            <v>0</v>
          </cell>
        </row>
        <row r="69">
          <cell r="B69" t="str">
            <v>Total-CIO PBA</v>
          </cell>
          <cell r="C69" t="str">
            <v>CIO PBA</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Total-CIO Cash</v>
          </cell>
          <cell r="C70" t="str">
            <v>CIO Cash</v>
          </cell>
          <cell r="D70">
            <v>0</v>
          </cell>
          <cell r="E70">
            <v>0</v>
          </cell>
          <cell r="F70">
            <v>0</v>
          </cell>
          <cell r="G70">
            <v>0</v>
          </cell>
          <cell r="H70">
            <v>0</v>
          </cell>
          <cell r="I70">
            <v>0</v>
          </cell>
          <cell r="J70">
            <v>0</v>
          </cell>
          <cell r="K70">
            <v>0</v>
          </cell>
          <cell r="L70">
            <v>0</v>
          </cell>
          <cell r="M70">
            <v>0</v>
          </cell>
          <cell r="N70">
            <v>0</v>
          </cell>
          <cell r="O70">
            <v>0</v>
          </cell>
          <cell r="P70">
            <v>0</v>
          </cell>
        </row>
        <row r="71">
          <cell r="B71" t="str">
            <v>Total-Other Cash</v>
          </cell>
          <cell r="C71" t="str">
            <v>Other Cash</v>
          </cell>
          <cell r="D71">
            <v>0</v>
          </cell>
          <cell r="E71">
            <v>0</v>
          </cell>
          <cell r="F71">
            <v>0</v>
          </cell>
          <cell r="G71">
            <v>0</v>
          </cell>
          <cell r="H71">
            <v>0</v>
          </cell>
          <cell r="I71">
            <v>0</v>
          </cell>
          <cell r="J71">
            <v>0</v>
          </cell>
          <cell r="K71">
            <v>0</v>
          </cell>
          <cell r="L71">
            <v>0</v>
          </cell>
          <cell r="M71">
            <v>0</v>
          </cell>
          <cell r="N71">
            <v>0</v>
          </cell>
          <cell r="O71">
            <v>0</v>
          </cell>
          <cell r="P71">
            <v>0</v>
          </cell>
        </row>
        <row r="72">
          <cell r="B72" t="str">
            <v>Total-Donated Resources</v>
          </cell>
          <cell r="C72" t="str">
            <v>Donated Resources</v>
          </cell>
          <cell r="D72">
            <v>0</v>
          </cell>
          <cell r="E72">
            <v>0</v>
          </cell>
          <cell r="F72">
            <v>0</v>
          </cell>
          <cell r="G72">
            <v>0</v>
          </cell>
          <cell r="H72">
            <v>0</v>
          </cell>
          <cell r="I72">
            <v>0</v>
          </cell>
          <cell r="J72">
            <v>0</v>
          </cell>
          <cell r="K72">
            <v>0</v>
          </cell>
          <cell r="L72">
            <v>0</v>
          </cell>
          <cell r="M72">
            <v>0</v>
          </cell>
          <cell r="N72">
            <v>0</v>
          </cell>
          <cell r="O72">
            <v>0</v>
          </cell>
          <cell r="P72">
            <v>0</v>
          </cell>
        </row>
        <row r="73">
          <cell r="B73" t="str">
            <v>Total-Other non-Cash</v>
          </cell>
          <cell r="C73" t="str">
            <v>Other non-Cash</v>
          </cell>
          <cell r="D73">
            <v>0</v>
          </cell>
          <cell r="E73">
            <v>0</v>
          </cell>
          <cell r="F73">
            <v>0</v>
          </cell>
          <cell r="G73">
            <v>0</v>
          </cell>
          <cell r="H73">
            <v>0</v>
          </cell>
          <cell r="I73">
            <v>0</v>
          </cell>
          <cell r="J73">
            <v>0</v>
          </cell>
          <cell r="K73">
            <v>0</v>
          </cell>
          <cell r="L73">
            <v>0</v>
          </cell>
          <cell r="M73">
            <v>0</v>
          </cell>
          <cell r="N73">
            <v>0</v>
          </cell>
          <cell r="O73">
            <v>0</v>
          </cell>
          <cell r="P73">
            <v>0</v>
          </cell>
        </row>
        <row r="74">
          <cell r="B74" t="str">
            <v>Total-Total Cash-Based</v>
          </cell>
          <cell r="C74" t="str">
            <v>Total Cash-Based</v>
          </cell>
          <cell r="D74">
            <v>0</v>
          </cell>
          <cell r="E74">
            <v>0</v>
          </cell>
          <cell r="F74">
            <v>0</v>
          </cell>
          <cell r="G74">
            <v>0</v>
          </cell>
          <cell r="H74">
            <v>0</v>
          </cell>
          <cell r="I74">
            <v>0</v>
          </cell>
          <cell r="J74">
            <v>0</v>
          </cell>
          <cell r="K74">
            <v>0</v>
          </cell>
          <cell r="L74">
            <v>0</v>
          </cell>
          <cell r="M74">
            <v>0</v>
          </cell>
          <cell r="N74">
            <v>0</v>
          </cell>
          <cell r="O74">
            <v>0</v>
          </cell>
          <cell r="P74">
            <v>0</v>
          </cell>
        </row>
        <row r="75">
          <cell r="B75" t="str">
            <v>Total-Total non-Cash Based</v>
          </cell>
          <cell r="C75" t="str">
            <v>Total non-Cash Based</v>
          </cell>
          <cell r="D75">
            <v>0</v>
          </cell>
          <cell r="E75">
            <v>0</v>
          </cell>
          <cell r="F75">
            <v>0</v>
          </cell>
          <cell r="G75">
            <v>0</v>
          </cell>
          <cell r="H75">
            <v>0</v>
          </cell>
          <cell r="I75">
            <v>0</v>
          </cell>
          <cell r="J75">
            <v>0</v>
          </cell>
          <cell r="K75">
            <v>0</v>
          </cell>
          <cell r="L75">
            <v>0</v>
          </cell>
          <cell r="M75">
            <v>0</v>
          </cell>
          <cell r="N75">
            <v>0</v>
          </cell>
          <cell r="O75">
            <v>0</v>
          </cell>
          <cell r="P75">
            <v>0</v>
          </cell>
        </row>
        <row r="76">
          <cell r="B76" t="str">
            <v>Total-Grand total</v>
          </cell>
          <cell r="C76" t="str">
            <v>Grand total</v>
          </cell>
          <cell r="D76">
            <v>0</v>
          </cell>
          <cell r="E76">
            <v>0</v>
          </cell>
          <cell r="F76">
            <v>0</v>
          </cell>
          <cell r="G76">
            <v>0</v>
          </cell>
          <cell r="H76">
            <v>0</v>
          </cell>
          <cell r="I76">
            <v>0</v>
          </cell>
          <cell r="J76">
            <v>0</v>
          </cell>
          <cell r="K76">
            <v>0</v>
          </cell>
          <cell r="L76">
            <v>0</v>
          </cell>
          <cell r="M76">
            <v>0</v>
          </cell>
          <cell r="N76">
            <v>0</v>
          </cell>
          <cell r="O76">
            <v>0</v>
          </cell>
          <cell r="P76">
            <v>0</v>
          </cell>
        </row>
      </sheetData>
      <sheetData sheetId="11" refreshError="1">
        <row r="4">
          <cell r="B4" t="str">
            <v>FY14-Non-Labor Cost</v>
          </cell>
          <cell r="C4" t="str">
            <v>Non-Labor Cost</v>
          </cell>
          <cell r="D4">
            <v>0</v>
          </cell>
          <cell r="E4">
            <v>0</v>
          </cell>
          <cell r="F4">
            <v>0</v>
          </cell>
          <cell r="G4">
            <v>0</v>
          </cell>
          <cell r="H4">
            <v>0</v>
          </cell>
          <cell r="I4">
            <v>0</v>
          </cell>
          <cell r="J4">
            <v>0</v>
          </cell>
          <cell r="K4">
            <v>0</v>
          </cell>
          <cell r="L4">
            <v>0</v>
          </cell>
          <cell r="M4">
            <v>0</v>
          </cell>
          <cell r="N4">
            <v>0</v>
          </cell>
          <cell r="O4">
            <v>0</v>
          </cell>
          <cell r="P4">
            <v>0</v>
          </cell>
          <cell r="R4" t="str">
            <v>FY14-Non-Labor Cost</v>
          </cell>
          <cell r="S4">
            <v>0</v>
          </cell>
          <cell r="T4">
            <v>0</v>
          </cell>
          <cell r="U4">
            <v>0</v>
          </cell>
          <cell r="V4">
            <v>0</v>
          </cell>
          <cell r="W4">
            <v>0</v>
          </cell>
          <cell r="X4">
            <v>0</v>
          </cell>
          <cell r="Y4">
            <v>0</v>
          </cell>
          <cell r="Z4">
            <v>0</v>
          </cell>
          <cell r="AA4">
            <v>0</v>
          </cell>
          <cell r="AB4">
            <v>0</v>
          </cell>
          <cell r="AC4">
            <v>0</v>
          </cell>
          <cell r="AD4">
            <v>0</v>
          </cell>
        </row>
        <row r="5">
          <cell r="B5" t="str">
            <v>FY14-Cash Labor Costs</v>
          </cell>
          <cell r="C5" t="str">
            <v>Cash Labor Costs</v>
          </cell>
          <cell r="D5">
            <v>0</v>
          </cell>
          <cell r="E5">
            <v>0</v>
          </cell>
          <cell r="F5">
            <v>0</v>
          </cell>
          <cell r="G5">
            <v>0</v>
          </cell>
          <cell r="H5">
            <v>0</v>
          </cell>
          <cell r="I5">
            <v>0</v>
          </cell>
          <cell r="J5">
            <v>0</v>
          </cell>
          <cell r="K5">
            <v>0</v>
          </cell>
          <cell r="L5">
            <v>0</v>
          </cell>
          <cell r="M5">
            <v>0</v>
          </cell>
          <cell r="N5">
            <v>0</v>
          </cell>
          <cell r="O5">
            <v>0</v>
          </cell>
          <cell r="P5">
            <v>0</v>
          </cell>
          <cell r="R5" t="str">
            <v>FY14-Cash Labor Costs</v>
          </cell>
          <cell r="S5">
            <v>0</v>
          </cell>
          <cell r="T5">
            <v>0</v>
          </cell>
          <cell r="U5">
            <v>0</v>
          </cell>
          <cell r="V5">
            <v>0</v>
          </cell>
          <cell r="W5">
            <v>0</v>
          </cell>
          <cell r="X5">
            <v>0</v>
          </cell>
          <cell r="Y5">
            <v>0</v>
          </cell>
          <cell r="Z5">
            <v>0</v>
          </cell>
          <cell r="AA5">
            <v>0</v>
          </cell>
          <cell r="AB5">
            <v>0</v>
          </cell>
          <cell r="AC5">
            <v>0</v>
          </cell>
          <cell r="AD5">
            <v>0</v>
          </cell>
        </row>
        <row r="6">
          <cell r="B6" t="str">
            <v>FY14-Non-Cash Labor Costs</v>
          </cell>
          <cell r="C6" t="str">
            <v>Non-Cash Labor Costs</v>
          </cell>
          <cell r="D6">
            <v>0</v>
          </cell>
          <cell r="E6">
            <v>0</v>
          </cell>
          <cell r="F6">
            <v>0</v>
          </cell>
          <cell r="G6">
            <v>0</v>
          </cell>
          <cell r="H6">
            <v>0</v>
          </cell>
          <cell r="I6">
            <v>0</v>
          </cell>
          <cell r="J6">
            <v>0</v>
          </cell>
          <cell r="K6">
            <v>0</v>
          </cell>
          <cell r="L6">
            <v>0</v>
          </cell>
          <cell r="M6">
            <v>0</v>
          </cell>
          <cell r="N6">
            <v>0</v>
          </cell>
          <cell r="O6">
            <v>0</v>
          </cell>
          <cell r="P6">
            <v>0</v>
          </cell>
          <cell r="R6" t="str">
            <v>FY14-Non-Cash Labor Costs</v>
          </cell>
          <cell r="S6">
            <v>0</v>
          </cell>
          <cell r="T6">
            <v>0</v>
          </cell>
          <cell r="U6">
            <v>0</v>
          </cell>
          <cell r="V6">
            <v>0</v>
          </cell>
          <cell r="W6">
            <v>0</v>
          </cell>
          <cell r="X6">
            <v>0</v>
          </cell>
          <cell r="Y6">
            <v>0</v>
          </cell>
          <cell r="Z6">
            <v>0</v>
          </cell>
          <cell r="AA6">
            <v>0</v>
          </cell>
          <cell r="AB6">
            <v>0</v>
          </cell>
          <cell r="AC6">
            <v>0</v>
          </cell>
          <cell r="AD6">
            <v>0</v>
          </cell>
        </row>
        <row r="7">
          <cell r="B7" t="str">
            <v>FY14-Cash Labor Hours</v>
          </cell>
          <cell r="C7" t="str">
            <v>Cash Labor Hours</v>
          </cell>
          <cell r="D7">
            <v>0</v>
          </cell>
          <cell r="E7">
            <v>0</v>
          </cell>
          <cell r="F7">
            <v>0</v>
          </cell>
          <cell r="G7">
            <v>0</v>
          </cell>
          <cell r="H7">
            <v>0</v>
          </cell>
          <cell r="I7">
            <v>0</v>
          </cell>
          <cell r="J7">
            <v>0</v>
          </cell>
          <cell r="K7">
            <v>0</v>
          </cell>
          <cell r="L7">
            <v>0</v>
          </cell>
          <cell r="M7">
            <v>0</v>
          </cell>
          <cell r="N7">
            <v>0</v>
          </cell>
          <cell r="O7">
            <v>0</v>
          </cell>
          <cell r="P7">
            <v>0</v>
          </cell>
          <cell r="R7" t="str">
            <v>FY14-Cash Labor Hours</v>
          </cell>
          <cell r="S7">
            <v>0</v>
          </cell>
          <cell r="T7">
            <v>0</v>
          </cell>
          <cell r="U7">
            <v>0</v>
          </cell>
          <cell r="V7">
            <v>0</v>
          </cell>
          <cell r="W7">
            <v>0</v>
          </cell>
          <cell r="X7">
            <v>0</v>
          </cell>
          <cell r="Y7">
            <v>0</v>
          </cell>
          <cell r="Z7">
            <v>0</v>
          </cell>
          <cell r="AA7">
            <v>0</v>
          </cell>
          <cell r="AB7">
            <v>0</v>
          </cell>
          <cell r="AC7">
            <v>0</v>
          </cell>
          <cell r="AD7">
            <v>0</v>
          </cell>
        </row>
        <row r="8">
          <cell r="B8" t="str">
            <v>FY14-Non-Cash Labor Hours</v>
          </cell>
          <cell r="C8" t="str">
            <v>Non-Cash Labor Hours</v>
          </cell>
          <cell r="D8">
            <v>0</v>
          </cell>
          <cell r="E8">
            <v>0</v>
          </cell>
          <cell r="F8">
            <v>0</v>
          </cell>
          <cell r="G8">
            <v>0</v>
          </cell>
          <cell r="H8">
            <v>0</v>
          </cell>
          <cell r="I8">
            <v>0</v>
          </cell>
          <cell r="J8">
            <v>0</v>
          </cell>
          <cell r="K8">
            <v>0</v>
          </cell>
          <cell r="L8">
            <v>0</v>
          </cell>
          <cell r="M8">
            <v>0</v>
          </cell>
          <cell r="N8">
            <v>0</v>
          </cell>
          <cell r="O8">
            <v>0</v>
          </cell>
          <cell r="P8">
            <v>0</v>
          </cell>
          <cell r="R8" t="str">
            <v>FY14-Non-Cash Labor Hours</v>
          </cell>
          <cell r="S8">
            <v>0</v>
          </cell>
          <cell r="T8">
            <v>0</v>
          </cell>
          <cell r="U8">
            <v>0</v>
          </cell>
          <cell r="V8">
            <v>0</v>
          </cell>
          <cell r="W8">
            <v>0</v>
          </cell>
          <cell r="X8">
            <v>0</v>
          </cell>
          <cell r="Y8">
            <v>0</v>
          </cell>
          <cell r="Z8">
            <v>0</v>
          </cell>
          <cell r="AA8">
            <v>0</v>
          </cell>
          <cell r="AB8">
            <v>0</v>
          </cell>
          <cell r="AC8">
            <v>0</v>
          </cell>
          <cell r="AD8">
            <v>0</v>
          </cell>
        </row>
        <row r="9">
          <cell r="B9" t="str">
            <v>FY14-Total Cost</v>
          </cell>
          <cell r="C9" t="str">
            <v>Total Cost</v>
          </cell>
          <cell r="D9">
            <v>0</v>
          </cell>
          <cell r="E9">
            <v>0</v>
          </cell>
          <cell r="F9">
            <v>0</v>
          </cell>
          <cell r="G9">
            <v>0</v>
          </cell>
          <cell r="H9">
            <v>0</v>
          </cell>
          <cell r="I9">
            <v>0</v>
          </cell>
          <cell r="J9">
            <v>0</v>
          </cell>
          <cell r="K9">
            <v>0</v>
          </cell>
          <cell r="L9">
            <v>0</v>
          </cell>
          <cell r="M9">
            <v>0</v>
          </cell>
          <cell r="N9">
            <v>0</v>
          </cell>
          <cell r="O9">
            <v>0</v>
          </cell>
          <cell r="P9">
            <v>0</v>
          </cell>
          <cell r="R9" t="str">
            <v>FY14-Total Cost</v>
          </cell>
          <cell r="S9">
            <v>0</v>
          </cell>
          <cell r="T9">
            <v>0</v>
          </cell>
          <cell r="U9">
            <v>0</v>
          </cell>
          <cell r="V9">
            <v>0</v>
          </cell>
          <cell r="W9">
            <v>0</v>
          </cell>
          <cell r="X9">
            <v>0</v>
          </cell>
          <cell r="Y9">
            <v>0</v>
          </cell>
          <cell r="Z9">
            <v>0</v>
          </cell>
          <cell r="AA9">
            <v>0</v>
          </cell>
          <cell r="AB9">
            <v>0</v>
          </cell>
          <cell r="AC9">
            <v>0</v>
          </cell>
          <cell r="AD9">
            <v>0</v>
          </cell>
        </row>
        <row r="10">
          <cell r="B10" t="str">
            <v>FY14-Total Hours</v>
          </cell>
          <cell r="C10" t="str">
            <v>Total Hours</v>
          </cell>
          <cell r="D10">
            <v>0</v>
          </cell>
          <cell r="E10">
            <v>0</v>
          </cell>
          <cell r="F10">
            <v>0</v>
          </cell>
          <cell r="G10">
            <v>0</v>
          </cell>
          <cell r="H10">
            <v>0</v>
          </cell>
          <cell r="I10">
            <v>0</v>
          </cell>
          <cell r="J10">
            <v>0</v>
          </cell>
          <cell r="K10">
            <v>0</v>
          </cell>
          <cell r="L10">
            <v>0</v>
          </cell>
          <cell r="M10">
            <v>0</v>
          </cell>
          <cell r="N10">
            <v>0</v>
          </cell>
          <cell r="O10">
            <v>0</v>
          </cell>
          <cell r="P10">
            <v>0</v>
          </cell>
          <cell r="R10" t="str">
            <v>FY14-Total Hours</v>
          </cell>
          <cell r="S10">
            <v>0</v>
          </cell>
          <cell r="T10">
            <v>0</v>
          </cell>
          <cell r="U10">
            <v>0</v>
          </cell>
          <cell r="V10">
            <v>0</v>
          </cell>
          <cell r="W10">
            <v>0</v>
          </cell>
          <cell r="X10">
            <v>0</v>
          </cell>
          <cell r="Y10">
            <v>0</v>
          </cell>
          <cell r="Z10">
            <v>0</v>
          </cell>
          <cell r="AA10">
            <v>0</v>
          </cell>
          <cell r="AB10">
            <v>0</v>
          </cell>
          <cell r="AC10">
            <v>0</v>
          </cell>
          <cell r="AD10">
            <v>0</v>
          </cell>
        </row>
        <row r="11">
          <cell r="B11" t="str">
            <v>FY15-Non-Labor Cost</v>
          </cell>
          <cell r="C11" t="str">
            <v>Non-Labor Cost</v>
          </cell>
          <cell r="D11">
            <v>0</v>
          </cell>
          <cell r="E11">
            <v>0</v>
          </cell>
          <cell r="F11">
            <v>0</v>
          </cell>
          <cell r="G11">
            <v>0</v>
          </cell>
          <cell r="H11">
            <v>0</v>
          </cell>
          <cell r="I11">
            <v>0</v>
          </cell>
          <cell r="J11">
            <v>0</v>
          </cell>
          <cell r="K11">
            <v>0</v>
          </cell>
          <cell r="L11">
            <v>0</v>
          </cell>
          <cell r="M11">
            <v>0</v>
          </cell>
          <cell r="N11">
            <v>0</v>
          </cell>
          <cell r="O11">
            <v>0</v>
          </cell>
          <cell r="P11">
            <v>0</v>
          </cell>
          <cell r="R11" t="str">
            <v>FY15-Non-Labor Cost</v>
          </cell>
          <cell r="S11">
            <v>0</v>
          </cell>
          <cell r="T11">
            <v>0</v>
          </cell>
          <cell r="U11">
            <v>0</v>
          </cell>
          <cell r="V11">
            <v>0</v>
          </cell>
          <cell r="W11">
            <v>0</v>
          </cell>
          <cell r="X11">
            <v>0</v>
          </cell>
          <cell r="Y11">
            <v>0</v>
          </cell>
          <cell r="Z11">
            <v>0</v>
          </cell>
          <cell r="AA11">
            <v>0</v>
          </cell>
          <cell r="AB11">
            <v>0</v>
          </cell>
          <cell r="AC11">
            <v>0</v>
          </cell>
          <cell r="AD11">
            <v>0</v>
          </cell>
        </row>
        <row r="12">
          <cell r="B12" t="str">
            <v>FY15-Cash Labor Costs</v>
          </cell>
          <cell r="C12" t="str">
            <v>Cash Labor Costs</v>
          </cell>
          <cell r="D12">
            <v>0</v>
          </cell>
          <cell r="E12">
            <v>0</v>
          </cell>
          <cell r="F12">
            <v>0</v>
          </cell>
          <cell r="G12">
            <v>0</v>
          </cell>
          <cell r="H12">
            <v>0</v>
          </cell>
          <cell r="I12">
            <v>0</v>
          </cell>
          <cell r="J12">
            <v>0</v>
          </cell>
          <cell r="K12">
            <v>0</v>
          </cell>
          <cell r="L12">
            <v>0</v>
          </cell>
          <cell r="M12">
            <v>0</v>
          </cell>
          <cell r="N12">
            <v>0</v>
          </cell>
          <cell r="O12">
            <v>0</v>
          </cell>
          <cell r="P12">
            <v>0</v>
          </cell>
          <cell r="R12" t="str">
            <v>FY15-Cash Labor Costs</v>
          </cell>
          <cell r="S12">
            <v>0</v>
          </cell>
          <cell r="T12">
            <v>0</v>
          </cell>
          <cell r="U12">
            <v>0</v>
          </cell>
          <cell r="V12">
            <v>0</v>
          </cell>
          <cell r="W12">
            <v>0</v>
          </cell>
          <cell r="X12">
            <v>0</v>
          </cell>
          <cell r="Y12">
            <v>0</v>
          </cell>
          <cell r="Z12">
            <v>0</v>
          </cell>
          <cell r="AA12">
            <v>0</v>
          </cell>
          <cell r="AB12">
            <v>0</v>
          </cell>
          <cell r="AC12">
            <v>0</v>
          </cell>
          <cell r="AD12">
            <v>0</v>
          </cell>
        </row>
        <row r="13">
          <cell r="B13" t="str">
            <v>FY15-Non-Cash Labor Costs</v>
          </cell>
          <cell r="C13" t="str">
            <v>Non-Cash Labor Costs</v>
          </cell>
          <cell r="D13">
            <v>0</v>
          </cell>
          <cell r="E13">
            <v>0</v>
          </cell>
          <cell r="F13">
            <v>0</v>
          </cell>
          <cell r="G13">
            <v>0</v>
          </cell>
          <cell r="H13">
            <v>0</v>
          </cell>
          <cell r="I13">
            <v>0</v>
          </cell>
          <cell r="J13">
            <v>0</v>
          </cell>
          <cell r="K13">
            <v>0</v>
          </cell>
          <cell r="L13">
            <v>0</v>
          </cell>
          <cell r="M13">
            <v>0</v>
          </cell>
          <cell r="N13">
            <v>0</v>
          </cell>
          <cell r="O13">
            <v>0</v>
          </cell>
          <cell r="P13">
            <v>0</v>
          </cell>
          <cell r="R13" t="str">
            <v>FY15-Non-Cash Labor Costs</v>
          </cell>
          <cell r="S13">
            <v>0</v>
          </cell>
          <cell r="T13">
            <v>0</v>
          </cell>
          <cell r="U13">
            <v>0</v>
          </cell>
          <cell r="V13">
            <v>0</v>
          </cell>
          <cell r="W13">
            <v>0</v>
          </cell>
          <cell r="X13">
            <v>0</v>
          </cell>
          <cell r="Y13">
            <v>0</v>
          </cell>
          <cell r="Z13">
            <v>0</v>
          </cell>
          <cell r="AA13">
            <v>0</v>
          </cell>
          <cell r="AB13">
            <v>0</v>
          </cell>
          <cell r="AC13">
            <v>0</v>
          </cell>
          <cell r="AD13">
            <v>0</v>
          </cell>
        </row>
        <row r="14">
          <cell r="B14" t="str">
            <v>FY15-Cash Labor Hours</v>
          </cell>
          <cell r="C14" t="str">
            <v>Cash Labor Hours</v>
          </cell>
          <cell r="D14">
            <v>0</v>
          </cell>
          <cell r="E14">
            <v>0</v>
          </cell>
          <cell r="F14">
            <v>0</v>
          </cell>
          <cell r="G14">
            <v>0</v>
          </cell>
          <cell r="H14">
            <v>0</v>
          </cell>
          <cell r="I14">
            <v>0</v>
          </cell>
          <cell r="J14">
            <v>0</v>
          </cell>
          <cell r="K14">
            <v>0</v>
          </cell>
          <cell r="L14">
            <v>0</v>
          </cell>
          <cell r="M14">
            <v>0</v>
          </cell>
          <cell r="N14">
            <v>0</v>
          </cell>
          <cell r="O14">
            <v>0</v>
          </cell>
          <cell r="P14">
            <v>0</v>
          </cell>
          <cell r="R14" t="str">
            <v>FY15-Cash Labor Hours</v>
          </cell>
          <cell r="S14">
            <v>0</v>
          </cell>
          <cell r="T14">
            <v>0</v>
          </cell>
          <cell r="U14">
            <v>0</v>
          </cell>
          <cell r="V14">
            <v>0</v>
          </cell>
          <cell r="W14">
            <v>0</v>
          </cell>
          <cell r="X14">
            <v>0</v>
          </cell>
          <cell r="Y14">
            <v>0</v>
          </cell>
          <cell r="Z14">
            <v>0</v>
          </cell>
          <cell r="AA14">
            <v>0</v>
          </cell>
          <cell r="AB14">
            <v>0</v>
          </cell>
          <cell r="AC14">
            <v>0</v>
          </cell>
          <cell r="AD14">
            <v>0</v>
          </cell>
        </row>
        <row r="15">
          <cell r="B15" t="str">
            <v>FY15-Non-Cash Labor Hours</v>
          </cell>
          <cell r="C15" t="str">
            <v>Non-Cash Labor Hours</v>
          </cell>
          <cell r="D15">
            <v>0</v>
          </cell>
          <cell r="E15">
            <v>0</v>
          </cell>
          <cell r="F15">
            <v>0</v>
          </cell>
          <cell r="G15">
            <v>0</v>
          </cell>
          <cell r="H15">
            <v>0</v>
          </cell>
          <cell r="I15">
            <v>0</v>
          </cell>
          <cell r="J15">
            <v>0</v>
          </cell>
          <cell r="K15">
            <v>0</v>
          </cell>
          <cell r="L15">
            <v>0</v>
          </cell>
          <cell r="M15">
            <v>0</v>
          </cell>
          <cell r="N15">
            <v>0</v>
          </cell>
          <cell r="O15">
            <v>0</v>
          </cell>
          <cell r="P15">
            <v>0</v>
          </cell>
          <cell r="R15" t="str">
            <v>FY15-Non-Cash Labor Hours</v>
          </cell>
          <cell r="S15">
            <v>0</v>
          </cell>
          <cell r="T15">
            <v>0</v>
          </cell>
          <cell r="U15">
            <v>0</v>
          </cell>
          <cell r="V15">
            <v>0</v>
          </cell>
          <cell r="W15">
            <v>0</v>
          </cell>
          <cell r="X15">
            <v>0</v>
          </cell>
          <cell r="Y15">
            <v>0</v>
          </cell>
          <cell r="Z15">
            <v>0</v>
          </cell>
          <cell r="AA15">
            <v>0</v>
          </cell>
          <cell r="AB15">
            <v>0</v>
          </cell>
          <cell r="AC15">
            <v>0</v>
          </cell>
          <cell r="AD15">
            <v>0</v>
          </cell>
        </row>
        <row r="16">
          <cell r="B16" t="str">
            <v>FY15-Total Cost</v>
          </cell>
          <cell r="C16" t="str">
            <v>Total Cost</v>
          </cell>
          <cell r="D16">
            <v>0</v>
          </cell>
          <cell r="E16">
            <v>0</v>
          </cell>
          <cell r="F16">
            <v>0</v>
          </cell>
          <cell r="G16">
            <v>0</v>
          </cell>
          <cell r="H16">
            <v>0</v>
          </cell>
          <cell r="I16">
            <v>0</v>
          </cell>
          <cell r="J16">
            <v>0</v>
          </cell>
          <cell r="K16">
            <v>0</v>
          </cell>
          <cell r="L16">
            <v>0</v>
          </cell>
          <cell r="M16">
            <v>0</v>
          </cell>
          <cell r="N16">
            <v>0</v>
          </cell>
          <cell r="O16">
            <v>0</v>
          </cell>
          <cell r="P16">
            <v>0</v>
          </cell>
          <cell r="R16" t="str">
            <v>FY15-Total Cost</v>
          </cell>
          <cell r="S16">
            <v>0</v>
          </cell>
          <cell r="T16">
            <v>0</v>
          </cell>
          <cell r="U16">
            <v>0</v>
          </cell>
          <cell r="V16">
            <v>0</v>
          </cell>
          <cell r="W16">
            <v>0</v>
          </cell>
          <cell r="X16">
            <v>0</v>
          </cell>
          <cell r="Y16">
            <v>0</v>
          </cell>
          <cell r="Z16">
            <v>0</v>
          </cell>
          <cell r="AA16">
            <v>0</v>
          </cell>
          <cell r="AB16">
            <v>0</v>
          </cell>
          <cell r="AC16">
            <v>0</v>
          </cell>
          <cell r="AD16">
            <v>0</v>
          </cell>
        </row>
        <row r="17">
          <cell r="B17" t="str">
            <v>FY15-Total Hours</v>
          </cell>
          <cell r="C17" t="str">
            <v>Total Hours</v>
          </cell>
          <cell r="D17">
            <v>0</v>
          </cell>
          <cell r="E17">
            <v>0</v>
          </cell>
          <cell r="F17">
            <v>0</v>
          </cell>
          <cell r="G17">
            <v>0</v>
          </cell>
          <cell r="H17">
            <v>0</v>
          </cell>
          <cell r="I17">
            <v>0</v>
          </cell>
          <cell r="J17">
            <v>0</v>
          </cell>
          <cell r="K17">
            <v>0</v>
          </cell>
          <cell r="L17">
            <v>0</v>
          </cell>
          <cell r="M17">
            <v>0</v>
          </cell>
          <cell r="N17">
            <v>0</v>
          </cell>
          <cell r="O17">
            <v>0</v>
          </cell>
          <cell r="P17">
            <v>0</v>
          </cell>
          <cell r="R17" t="str">
            <v>FY15-Total Hours</v>
          </cell>
          <cell r="S17">
            <v>0</v>
          </cell>
          <cell r="T17">
            <v>0</v>
          </cell>
          <cell r="U17">
            <v>0</v>
          </cell>
          <cell r="V17">
            <v>0</v>
          </cell>
          <cell r="W17">
            <v>0</v>
          </cell>
          <cell r="X17">
            <v>0</v>
          </cell>
          <cell r="Y17">
            <v>0</v>
          </cell>
          <cell r="Z17">
            <v>0</v>
          </cell>
          <cell r="AA17">
            <v>0</v>
          </cell>
          <cell r="AB17">
            <v>0</v>
          </cell>
          <cell r="AC17">
            <v>0</v>
          </cell>
          <cell r="AD17">
            <v>0</v>
          </cell>
        </row>
        <row r="18">
          <cell r="B18" t="str">
            <v>FY16-Non-Labor Cost</v>
          </cell>
          <cell r="C18" t="str">
            <v>Non-Labor Cost</v>
          </cell>
          <cell r="D18">
            <v>0</v>
          </cell>
          <cell r="E18">
            <v>0</v>
          </cell>
          <cell r="F18">
            <v>0</v>
          </cell>
          <cell r="G18">
            <v>0</v>
          </cell>
          <cell r="H18">
            <v>0</v>
          </cell>
          <cell r="I18">
            <v>0</v>
          </cell>
          <cell r="J18">
            <v>0</v>
          </cell>
          <cell r="K18">
            <v>0</v>
          </cell>
          <cell r="L18">
            <v>0</v>
          </cell>
          <cell r="M18">
            <v>0</v>
          </cell>
          <cell r="N18">
            <v>0</v>
          </cell>
          <cell r="O18">
            <v>0</v>
          </cell>
          <cell r="P18">
            <v>0</v>
          </cell>
          <cell r="R18" t="str">
            <v>FY16-Non-Labor Cost</v>
          </cell>
          <cell r="S18">
            <v>0</v>
          </cell>
          <cell r="T18">
            <v>0</v>
          </cell>
          <cell r="U18">
            <v>0</v>
          </cell>
          <cell r="V18">
            <v>0</v>
          </cell>
          <cell r="W18">
            <v>0</v>
          </cell>
          <cell r="X18">
            <v>0</v>
          </cell>
          <cell r="Y18">
            <v>0</v>
          </cell>
          <cell r="Z18">
            <v>0</v>
          </cell>
          <cell r="AA18">
            <v>0</v>
          </cell>
          <cell r="AB18">
            <v>0</v>
          </cell>
          <cell r="AC18">
            <v>0</v>
          </cell>
          <cell r="AD18">
            <v>0</v>
          </cell>
        </row>
        <row r="19">
          <cell r="B19" t="str">
            <v>FY16-Cash Labor Costs</v>
          </cell>
          <cell r="C19" t="str">
            <v>Cash Labor Costs</v>
          </cell>
          <cell r="D19">
            <v>0</v>
          </cell>
          <cell r="E19">
            <v>0</v>
          </cell>
          <cell r="F19">
            <v>0</v>
          </cell>
          <cell r="G19">
            <v>0</v>
          </cell>
          <cell r="H19">
            <v>0</v>
          </cell>
          <cell r="I19">
            <v>0</v>
          </cell>
          <cell r="J19">
            <v>0</v>
          </cell>
          <cell r="K19">
            <v>0</v>
          </cell>
          <cell r="L19">
            <v>0</v>
          </cell>
          <cell r="M19">
            <v>0</v>
          </cell>
          <cell r="N19">
            <v>0</v>
          </cell>
          <cell r="O19">
            <v>0</v>
          </cell>
          <cell r="P19">
            <v>0</v>
          </cell>
          <cell r="R19" t="str">
            <v>FY16-Cash Labor Costs</v>
          </cell>
          <cell r="S19">
            <v>0</v>
          </cell>
          <cell r="T19">
            <v>0</v>
          </cell>
          <cell r="U19">
            <v>0</v>
          </cell>
          <cell r="V19">
            <v>0</v>
          </cell>
          <cell r="W19">
            <v>0</v>
          </cell>
          <cell r="X19">
            <v>0</v>
          </cell>
          <cell r="Y19">
            <v>0</v>
          </cell>
          <cell r="Z19">
            <v>0</v>
          </cell>
          <cell r="AA19">
            <v>0</v>
          </cell>
          <cell r="AB19">
            <v>0</v>
          </cell>
          <cell r="AC19">
            <v>0</v>
          </cell>
          <cell r="AD19">
            <v>0</v>
          </cell>
        </row>
        <row r="20">
          <cell r="B20" t="str">
            <v>FY16-Non-Cash Labor Costs</v>
          </cell>
          <cell r="C20" t="str">
            <v>Non-Cash Labor Costs</v>
          </cell>
          <cell r="D20">
            <v>0</v>
          </cell>
          <cell r="E20">
            <v>0</v>
          </cell>
          <cell r="F20">
            <v>0</v>
          </cell>
          <cell r="G20">
            <v>0</v>
          </cell>
          <cell r="H20">
            <v>0</v>
          </cell>
          <cell r="I20">
            <v>0</v>
          </cell>
          <cell r="J20">
            <v>0</v>
          </cell>
          <cell r="K20">
            <v>0</v>
          </cell>
          <cell r="L20">
            <v>0</v>
          </cell>
          <cell r="M20">
            <v>0</v>
          </cell>
          <cell r="N20">
            <v>0</v>
          </cell>
          <cell r="O20">
            <v>0</v>
          </cell>
          <cell r="P20">
            <v>0</v>
          </cell>
          <cell r="R20" t="str">
            <v>FY16-Non-Cash Labor Costs</v>
          </cell>
          <cell r="S20">
            <v>0</v>
          </cell>
          <cell r="T20">
            <v>0</v>
          </cell>
          <cell r="U20">
            <v>0</v>
          </cell>
          <cell r="V20">
            <v>0</v>
          </cell>
          <cell r="W20">
            <v>0</v>
          </cell>
          <cell r="X20">
            <v>0</v>
          </cell>
          <cell r="Y20">
            <v>0</v>
          </cell>
          <cell r="Z20">
            <v>0</v>
          </cell>
          <cell r="AA20">
            <v>0</v>
          </cell>
          <cell r="AB20">
            <v>0</v>
          </cell>
          <cell r="AC20">
            <v>0</v>
          </cell>
          <cell r="AD20">
            <v>0</v>
          </cell>
        </row>
        <row r="21">
          <cell r="B21" t="str">
            <v>FY16-Cash Labor Hours</v>
          </cell>
          <cell r="C21" t="str">
            <v>Cash Labor Hours</v>
          </cell>
          <cell r="D21">
            <v>0</v>
          </cell>
          <cell r="E21">
            <v>0</v>
          </cell>
          <cell r="F21">
            <v>0</v>
          </cell>
          <cell r="G21">
            <v>0</v>
          </cell>
          <cell r="H21">
            <v>0</v>
          </cell>
          <cell r="I21">
            <v>0</v>
          </cell>
          <cell r="J21">
            <v>0</v>
          </cell>
          <cell r="K21">
            <v>0</v>
          </cell>
          <cell r="L21">
            <v>0</v>
          </cell>
          <cell r="M21">
            <v>0</v>
          </cell>
          <cell r="N21">
            <v>0</v>
          </cell>
          <cell r="O21">
            <v>0</v>
          </cell>
          <cell r="P21">
            <v>0</v>
          </cell>
          <cell r="R21" t="str">
            <v>FY16-Cash Labor Hours</v>
          </cell>
          <cell r="S21">
            <v>0</v>
          </cell>
          <cell r="T21">
            <v>0</v>
          </cell>
          <cell r="U21">
            <v>0</v>
          </cell>
          <cell r="V21">
            <v>0</v>
          </cell>
          <cell r="W21">
            <v>0</v>
          </cell>
          <cell r="X21">
            <v>0</v>
          </cell>
          <cell r="Y21">
            <v>0</v>
          </cell>
          <cell r="Z21">
            <v>0</v>
          </cell>
          <cell r="AA21">
            <v>0</v>
          </cell>
          <cell r="AB21">
            <v>0</v>
          </cell>
          <cell r="AC21">
            <v>0</v>
          </cell>
          <cell r="AD21">
            <v>0</v>
          </cell>
        </row>
        <row r="22">
          <cell r="B22" t="str">
            <v>FY16-Non-Cash Labor Hours</v>
          </cell>
          <cell r="C22" t="str">
            <v>Non-Cash Labor Hours</v>
          </cell>
          <cell r="D22">
            <v>0</v>
          </cell>
          <cell r="E22">
            <v>0</v>
          </cell>
          <cell r="F22">
            <v>0</v>
          </cell>
          <cell r="G22">
            <v>0</v>
          </cell>
          <cell r="H22">
            <v>0</v>
          </cell>
          <cell r="I22">
            <v>0</v>
          </cell>
          <cell r="J22">
            <v>0</v>
          </cell>
          <cell r="K22">
            <v>0</v>
          </cell>
          <cell r="L22">
            <v>0</v>
          </cell>
          <cell r="M22">
            <v>0</v>
          </cell>
          <cell r="N22">
            <v>0</v>
          </cell>
          <cell r="O22">
            <v>0</v>
          </cell>
          <cell r="P22">
            <v>0</v>
          </cell>
          <cell r="R22" t="str">
            <v>FY16-Non-Cash Labor Hours</v>
          </cell>
          <cell r="S22">
            <v>0</v>
          </cell>
          <cell r="T22">
            <v>0</v>
          </cell>
          <cell r="U22">
            <v>0</v>
          </cell>
          <cell r="V22">
            <v>0</v>
          </cell>
          <cell r="W22">
            <v>0</v>
          </cell>
          <cell r="X22">
            <v>0</v>
          </cell>
          <cell r="Y22">
            <v>0</v>
          </cell>
          <cell r="Z22">
            <v>0</v>
          </cell>
          <cell r="AA22">
            <v>0</v>
          </cell>
          <cell r="AB22">
            <v>0</v>
          </cell>
          <cell r="AC22">
            <v>0</v>
          </cell>
          <cell r="AD22">
            <v>0</v>
          </cell>
        </row>
        <row r="23">
          <cell r="B23" t="str">
            <v>FY16-Total Cost</v>
          </cell>
          <cell r="C23" t="str">
            <v>Total Cost</v>
          </cell>
          <cell r="D23">
            <v>0</v>
          </cell>
          <cell r="E23">
            <v>0</v>
          </cell>
          <cell r="F23">
            <v>0</v>
          </cell>
          <cell r="G23">
            <v>0</v>
          </cell>
          <cell r="H23">
            <v>0</v>
          </cell>
          <cell r="I23">
            <v>0</v>
          </cell>
          <cell r="J23">
            <v>0</v>
          </cell>
          <cell r="K23">
            <v>0</v>
          </cell>
          <cell r="L23">
            <v>0</v>
          </cell>
          <cell r="M23">
            <v>0</v>
          </cell>
          <cell r="N23">
            <v>0</v>
          </cell>
          <cell r="O23">
            <v>0</v>
          </cell>
          <cell r="P23">
            <v>0</v>
          </cell>
          <cell r="R23" t="str">
            <v>FY16-Total Cost</v>
          </cell>
          <cell r="S23">
            <v>0</v>
          </cell>
          <cell r="T23">
            <v>0</v>
          </cell>
          <cell r="U23">
            <v>0</v>
          </cell>
          <cell r="V23">
            <v>0</v>
          </cell>
          <cell r="W23">
            <v>0</v>
          </cell>
          <cell r="X23">
            <v>0</v>
          </cell>
          <cell r="Y23">
            <v>0</v>
          </cell>
          <cell r="Z23">
            <v>0</v>
          </cell>
          <cell r="AA23">
            <v>0</v>
          </cell>
          <cell r="AB23">
            <v>0</v>
          </cell>
          <cell r="AC23">
            <v>0</v>
          </cell>
          <cell r="AD23">
            <v>0</v>
          </cell>
        </row>
        <row r="24">
          <cell r="B24" t="str">
            <v>FY16-Total Hours</v>
          </cell>
          <cell r="C24" t="str">
            <v>Total Hours</v>
          </cell>
          <cell r="D24">
            <v>0</v>
          </cell>
          <cell r="E24">
            <v>0</v>
          </cell>
          <cell r="F24">
            <v>0</v>
          </cell>
          <cell r="G24">
            <v>0</v>
          </cell>
          <cell r="H24">
            <v>0</v>
          </cell>
          <cell r="I24">
            <v>0</v>
          </cell>
          <cell r="J24">
            <v>0</v>
          </cell>
          <cell r="K24">
            <v>0</v>
          </cell>
          <cell r="L24">
            <v>0</v>
          </cell>
          <cell r="M24">
            <v>0</v>
          </cell>
          <cell r="N24">
            <v>0</v>
          </cell>
          <cell r="O24">
            <v>0</v>
          </cell>
          <cell r="P24">
            <v>0</v>
          </cell>
          <cell r="R24" t="str">
            <v>FY16-Total Hours</v>
          </cell>
          <cell r="S24">
            <v>0</v>
          </cell>
          <cell r="T24">
            <v>0</v>
          </cell>
          <cell r="U24">
            <v>0</v>
          </cell>
          <cell r="V24">
            <v>0</v>
          </cell>
          <cell r="W24">
            <v>0</v>
          </cell>
          <cell r="X24">
            <v>0</v>
          </cell>
          <cell r="Y24">
            <v>0</v>
          </cell>
          <cell r="Z24">
            <v>0</v>
          </cell>
          <cell r="AA24">
            <v>0</v>
          </cell>
          <cell r="AB24">
            <v>0</v>
          </cell>
          <cell r="AC24">
            <v>0</v>
          </cell>
          <cell r="AD24">
            <v>0</v>
          </cell>
        </row>
        <row r="26">
          <cell r="B26" t="str">
            <v>Total-Non-Labor Cost</v>
          </cell>
          <cell r="C26" t="str">
            <v>Non-Labor Cost</v>
          </cell>
          <cell r="D26">
            <v>0</v>
          </cell>
          <cell r="E26">
            <v>0</v>
          </cell>
          <cell r="F26">
            <v>0</v>
          </cell>
          <cell r="G26">
            <v>0</v>
          </cell>
          <cell r="H26">
            <v>0</v>
          </cell>
          <cell r="I26">
            <v>0</v>
          </cell>
          <cell r="J26">
            <v>0</v>
          </cell>
          <cell r="K26">
            <v>0</v>
          </cell>
          <cell r="L26">
            <v>0</v>
          </cell>
          <cell r="M26">
            <v>0</v>
          </cell>
          <cell r="N26">
            <v>0</v>
          </cell>
          <cell r="O26">
            <v>0</v>
          </cell>
          <cell r="P26">
            <v>0</v>
          </cell>
        </row>
        <row r="27">
          <cell r="B27" t="str">
            <v>Total-Cash Labor Costs</v>
          </cell>
          <cell r="C27" t="str">
            <v>Cash Labor Costs</v>
          </cell>
          <cell r="D27">
            <v>0</v>
          </cell>
          <cell r="E27">
            <v>0</v>
          </cell>
          <cell r="F27">
            <v>0</v>
          </cell>
          <cell r="G27">
            <v>0</v>
          </cell>
          <cell r="H27">
            <v>0</v>
          </cell>
          <cell r="I27">
            <v>0</v>
          </cell>
          <cell r="J27">
            <v>0</v>
          </cell>
          <cell r="K27">
            <v>0</v>
          </cell>
          <cell r="L27">
            <v>0</v>
          </cell>
          <cell r="M27">
            <v>0</v>
          </cell>
          <cell r="N27">
            <v>0</v>
          </cell>
          <cell r="O27">
            <v>0</v>
          </cell>
          <cell r="P27">
            <v>0</v>
          </cell>
        </row>
        <row r="28">
          <cell r="B28" t="str">
            <v>Total-Non-Cash Labor Costs</v>
          </cell>
          <cell r="C28" t="str">
            <v>Non-Cash Labor Costs</v>
          </cell>
          <cell r="D28">
            <v>0</v>
          </cell>
          <cell r="E28">
            <v>0</v>
          </cell>
          <cell r="F28">
            <v>0</v>
          </cell>
          <cell r="G28">
            <v>0</v>
          </cell>
          <cell r="H28">
            <v>0</v>
          </cell>
          <cell r="I28">
            <v>0</v>
          </cell>
          <cell r="J28">
            <v>0</v>
          </cell>
          <cell r="K28">
            <v>0</v>
          </cell>
          <cell r="L28">
            <v>0</v>
          </cell>
          <cell r="M28">
            <v>0</v>
          </cell>
          <cell r="N28">
            <v>0</v>
          </cell>
          <cell r="O28">
            <v>0</v>
          </cell>
          <cell r="P28">
            <v>0</v>
          </cell>
        </row>
        <row r="29">
          <cell r="B29" t="str">
            <v>Total-Cash Labor Hours</v>
          </cell>
          <cell r="C29" t="str">
            <v>Cash Labor Hours</v>
          </cell>
          <cell r="D29">
            <v>0</v>
          </cell>
          <cell r="E29">
            <v>0</v>
          </cell>
          <cell r="F29">
            <v>0</v>
          </cell>
          <cell r="G29">
            <v>0</v>
          </cell>
          <cell r="H29">
            <v>0</v>
          </cell>
          <cell r="I29">
            <v>0</v>
          </cell>
          <cell r="J29">
            <v>0</v>
          </cell>
          <cell r="K29">
            <v>0</v>
          </cell>
          <cell r="L29">
            <v>0</v>
          </cell>
          <cell r="M29">
            <v>0</v>
          </cell>
          <cell r="N29">
            <v>0</v>
          </cell>
          <cell r="O29">
            <v>0</v>
          </cell>
          <cell r="P29">
            <v>0</v>
          </cell>
        </row>
        <row r="30">
          <cell r="B30" t="str">
            <v>Total-Non-Cash Labor Hours</v>
          </cell>
          <cell r="C30" t="str">
            <v>Non-Cash Labor Hours</v>
          </cell>
          <cell r="D30">
            <v>0</v>
          </cell>
          <cell r="E30">
            <v>0</v>
          </cell>
          <cell r="F30">
            <v>0</v>
          </cell>
          <cell r="G30">
            <v>0</v>
          </cell>
          <cell r="H30">
            <v>0</v>
          </cell>
          <cell r="I30">
            <v>0</v>
          </cell>
          <cell r="J30">
            <v>0</v>
          </cell>
          <cell r="K30">
            <v>0</v>
          </cell>
          <cell r="L30">
            <v>0</v>
          </cell>
          <cell r="M30">
            <v>0</v>
          </cell>
          <cell r="N30">
            <v>0</v>
          </cell>
          <cell r="O30">
            <v>0</v>
          </cell>
          <cell r="P30">
            <v>0</v>
          </cell>
        </row>
        <row r="31">
          <cell r="B31" t="str">
            <v>Total-Total Cost</v>
          </cell>
          <cell r="C31" t="str">
            <v>Total Cost</v>
          </cell>
          <cell r="D31">
            <v>0</v>
          </cell>
          <cell r="E31">
            <v>0</v>
          </cell>
          <cell r="F31">
            <v>0</v>
          </cell>
          <cell r="G31">
            <v>0</v>
          </cell>
          <cell r="H31">
            <v>0</v>
          </cell>
          <cell r="I31">
            <v>0</v>
          </cell>
          <cell r="J31">
            <v>0</v>
          </cell>
          <cell r="K31">
            <v>0</v>
          </cell>
          <cell r="L31">
            <v>0</v>
          </cell>
          <cell r="M31">
            <v>0</v>
          </cell>
          <cell r="N31">
            <v>0</v>
          </cell>
          <cell r="O31">
            <v>0</v>
          </cell>
          <cell r="P31">
            <v>0</v>
          </cell>
        </row>
        <row r="32">
          <cell r="B32" t="str">
            <v>Total-Total Hours</v>
          </cell>
          <cell r="C32" t="str">
            <v>Total Hours</v>
          </cell>
          <cell r="D32">
            <v>0</v>
          </cell>
          <cell r="E32">
            <v>0</v>
          </cell>
          <cell r="F32">
            <v>0</v>
          </cell>
          <cell r="G32">
            <v>0</v>
          </cell>
          <cell r="H32">
            <v>0</v>
          </cell>
          <cell r="I32">
            <v>0</v>
          </cell>
          <cell r="J32">
            <v>0</v>
          </cell>
          <cell r="K32">
            <v>0</v>
          </cell>
          <cell r="L32">
            <v>0</v>
          </cell>
          <cell r="M32">
            <v>0</v>
          </cell>
          <cell r="N32">
            <v>0</v>
          </cell>
          <cell r="O32">
            <v>0</v>
          </cell>
          <cell r="P32">
            <v>0</v>
          </cell>
        </row>
        <row r="36">
          <cell r="B36" t="str">
            <v>FY14-Univ PBA</v>
          </cell>
          <cell r="C36" t="str">
            <v>Univ PBA</v>
          </cell>
          <cell r="D36">
            <v>0</v>
          </cell>
          <cell r="E36">
            <v>0</v>
          </cell>
          <cell r="F36">
            <v>0</v>
          </cell>
          <cell r="G36">
            <v>0</v>
          </cell>
          <cell r="H36">
            <v>0</v>
          </cell>
          <cell r="I36">
            <v>0</v>
          </cell>
          <cell r="J36">
            <v>0</v>
          </cell>
          <cell r="K36">
            <v>0</v>
          </cell>
          <cell r="L36">
            <v>0</v>
          </cell>
          <cell r="M36">
            <v>0</v>
          </cell>
          <cell r="N36">
            <v>0</v>
          </cell>
          <cell r="O36">
            <v>0</v>
          </cell>
          <cell r="P36">
            <v>0</v>
          </cell>
        </row>
        <row r="37">
          <cell r="B37" t="str">
            <v>FY14-Univ Cash</v>
          </cell>
          <cell r="C37" t="str">
            <v>Univ Cash</v>
          </cell>
          <cell r="D37">
            <v>0</v>
          </cell>
          <cell r="E37">
            <v>0</v>
          </cell>
          <cell r="F37">
            <v>0</v>
          </cell>
          <cell r="G37">
            <v>0</v>
          </cell>
          <cell r="H37">
            <v>0</v>
          </cell>
          <cell r="I37">
            <v>0</v>
          </cell>
          <cell r="J37">
            <v>0</v>
          </cell>
          <cell r="K37">
            <v>0</v>
          </cell>
          <cell r="L37">
            <v>0</v>
          </cell>
          <cell r="M37">
            <v>0</v>
          </cell>
          <cell r="N37">
            <v>0</v>
          </cell>
          <cell r="O37">
            <v>0</v>
          </cell>
          <cell r="P37">
            <v>0</v>
          </cell>
        </row>
        <row r="38">
          <cell r="B38" t="str">
            <v>FY14-CIO PBA</v>
          </cell>
          <cell r="C38" t="str">
            <v>CIO PBA</v>
          </cell>
          <cell r="D38">
            <v>0</v>
          </cell>
          <cell r="E38">
            <v>0</v>
          </cell>
          <cell r="F38">
            <v>0</v>
          </cell>
          <cell r="G38">
            <v>0</v>
          </cell>
          <cell r="H38">
            <v>0</v>
          </cell>
          <cell r="I38">
            <v>0</v>
          </cell>
          <cell r="J38">
            <v>0</v>
          </cell>
          <cell r="K38">
            <v>0</v>
          </cell>
          <cell r="L38">
            <v>0</v>
          </cell>
          <cell r="M38">
            <v>0</v>
          </cell>
          <cell r="N38">
            <v>0</v>
          </cell>
          <cell r="O38">
            <v>0</v>
          </cell>
          <cell r="P38">
            <v>0</v>
          </cell>
        </row>
        <row r="39">
          <cell r="B39" t="str">
            <v>FY14-CIO Cash</v>
          </cell>
          <cell r="C39" t="str">
            <v>CIO Cash</v>
          </cell>
          <cell r="D39">
            <v>0</v>
          </cell>
          <cell r="E39">
            <v>0</v>
          </cell>
          <cell r="F39">
            <v>0</v>
          </cell>
          <cell r="G39">
            <v>0</v>
          </cell>
          <cell r="H39">
            <v>0</v>
          </cell>
          <cell r="I39">
            <v>0</v>
          </cell>
          <cell r="J39">
            <v>0</v>
          </cell>
          <cell r="K39">
            <v>0</v>
          </cell>
          <cell r="L39">
            <v>0</v>
          </cell>
          <cell r="M39">
            <v>0</v>
          </cell>
          <cell r="N39">
            <v>0</v>
          </cell>
          <cell r="O39">
            <v>0</v>
          </cell>
          <cell r="P39">
            <v>0</v>
          </cell>
        </row>
        <row r="40">
          <cell r="B40" t="str">
            <v>FY14-Other Cash</v>
          </cell>
          <cell r="C40" t="str">
            <v>Other Cash</v>
          </cell>
          <cell r="D40">
            <v>0</v>
          </cell>
          <cell r="E40">
            <v>0</v>
          </cell>
          <cell r="F40">
            <v>0</v>
          </cell>
          <cell r="G40">
            <v>0</v>
          </cell>
          <cell r="H40">
            <v>0</v>
          </cell>
          <cell r="I40">
            <v>0</v>
          </cell>
          <cell r="J40">
            <v>0</v>
          </cell>
          <cell r="K40">
            <v>0</v>
          </cell>
          <cell r="L40">
            <v>0</v>
          </cell>
          <cell r="M40">
            <v>0</v>
          </cell>
          <cell r="N40">
            <v>0</v>
          </cell>
          <cell r="O40">
            <v>0</v>
          </cell>
          <cell r="P40">
            <v>0</v>
          </cell>
        </row>
        <row r="41">
          <cell r="B41" t="str">
            <v>FY14-Donated Resources</v>
          </cell>
          <cell r="C41" t="str">
            <v>Donated Resources</v>
          </cell>
          <cell r="D41">
            <v>0</v>
          </cell>
          <cell r="E41">
            <v>0</v>
          </cell>
          <cell r="F41">
            <v>0</v>
          </cell>
          <cell r="G41">
            <v>0</v>
          </cell>
          <cell r="H41">
            <v>0</v>
          </cell>
          <cell r="I41">
            <v>0</v>
          </cell>
          <cell r="J41">
            <v>0</v>
          </cell>
          <cell r="K41">
            <v>0</v>
          </cell>
          <cell r="L41">
            <v>0</v>
          </cell>
          <cell r="M41">
            <v>0</v>
          </cell>
          <cell r="N41">
            <v>0</v>
          </cell>
          <cell r="O41">
            <v>0</v>
          </cell>
          <cell r="P41">
            <v>0</v>
          </cell>
        </row>
        <row r="42">
          <cell r="B42" t="str">
            <v>FY14-Other non-Cash</v>
          </cell>
          <cell r="C42" t="str">
            <v>Other non-Cash</v>
          </cell>
          <cell r="D42">
            <v>0</v>
          </cell>
          <cell r="E42">
            <v>0</v>
          </cell>
          <cell r="F42">
            <v>0</v>
          </cell>
          <cell r="G42">
            <v>0</v>
          </cell>
          <cell r="H42">
            <v>0</v>
          </cell>
          <cell r="I42">
            <v>0</v>
          </cell>
          <cell r="J42">
            <v>0</v>
          </cell>
          <cell r="K42">
            <v>0</v>
          </cell>
          <cell r="L42">
            <v>0</v>
          </cell>
          <cell r="M42">
            <v>0</v>
          </cell>
          <cell r="N42">
            <v>0</v>
          </cell>
          <cell r="O42">
            <v>0</v>
          </cell>
          <cell r="P42">
            <v>0</v>
          </cell>
        </row>
        <row r="43">
          <cell r="B43" t="str">
            <v>FY14-Total Cash-Based</v>
          </cell>
          <cell r="C43" t="str">
            <v>Total Cash-Based</v>
          </cell>
          <cell r="D43">
            <v>0</v>
          </cell>
          <cell r="E43">
            <v>0</v>
          </cell>
          <cell r="F43">
            <v>0</v>
          </cell>
          <cell r="G43">
            <v>0</v>
          </cell>
          <cell r="H43">
            <v>0</v>
          </cell>
          <cell r="I43">
            <v>0</v>
          </cell>
          <cell r="J43">
            <v>0</v>
          </cell>
          <cell r="K43">
            <v>0</v>
          </cell>
          <cell r="L43">
            <v>0</v>
          </cell>
          <cell r="M43">
            <v>0</v>
          </cell>
          <cell r="N43">
            <v>0</v>
          </cell>
          <cell r="O43">
            <v>0</v>
          </cell>
          <cell r="P43">
            <v>0</v>
          </cell>
        </row>
        <row r="44">
          <cell r="B44" t="str">
            <v>FY14-Total non-Cash Based</v>
          </cell>
          <cell r="C44" t="str">
            <v>Total non-Cash Based</v>
          </cell>
          <cell r="D44">
            <v>0</v>
          </cell>
          <cell r="E44">
            <v>0</v>
          </cell>
          <cell r="F44">
            <v>0</v>
          </cell>
          <cell r="G44">
            <v>0</v>
          </cell>
          <cell r="H44">
            <v>0</v>
          </cell>
          <cell r="I44">
            <v>0</v>
          </cell>
          <cell r="J44">
            <v>0</v>
          </cell>
          <cell r="K44">
            <v>0</v>
          </cell>
          <cell r="L44">
            <v>0</v>
          </cell>
          <cell r="M44">
            <v>0</v>
          </cell>
          <cell r="N44">
            <v>0</v>
          </cell>
          <cell r="O44">
            <v>0</v>
          </cell>
          <cell r="P44">
            <v>0</v>
          </cell>
        </row>
        <row r="45">
          <cell r="B45" t="str">
            <v>FY14-Grand total</v>
          </cell>
          <cell r="C45" t="str">
            <v>Grand total</v>
          </cell>
          <cell r="D45">
            <v>0</v>
          </cell>
          <cell r="E45">
            <v>0</v>
          </cell>
          <cell r="F45">
            <v>0</v>
          </cell>
          <cell r="G45">
            <v>0</v>
          </cell>
          <cell r="H45">
            <v>0</v>
          </cell>
          <cell r="I45">
            <v>0</v>
          </cell>
          <cell r="J45">
            <v>0</v>
          </cell>
          <cell r="K45">
            <v>0</v>
          </cell>
          <cell r="L45">
            <v>0</v>
          </cell>
          <cell r="M45">
            <v>0</v>
          </cell>
          <cell r="N45">
            <v>0</v>
          </cell>
          <cell r="O45">
            <v>0</v>
          </cell>
          <cell r="P45">
            <v>0</v>
          </cell>
        </row>
        <row r="46">
          <cell r="B46" t="str">
            <v>FY15-Univ PBA</v>
          </cell>
          <cell r="C46" t="str">
            <v>Univ PBA</v>
          </cell>
          <cell r="D46">
            <v>0</v>
          </cell>
          <cell r="E46">
            <v>0</v>
          </cell>
          <cell r="F46">
            <v>0</v>
          </cell>
          <cell r="G46">
            <v>0</v>
          </cell>
          <cell r="H46">
            <v>0</v>
          </cell>
          <cell r="I46">
            <v>0</v>
          </cell>
          <cell r="J46">
            <v>0</v>
          </cell>
          <cell r="K46">
            <v>0</v>
          </cell>
          <cell r="L46">
            <v>0</v>
          </cell>
          <cell r="M46">
            <v>0</v>
          </cell>
          <cell r="N46">
            <v>0</v>
          </cell>
          <cell r="O46">
            <v>0</v>
          </cell>
          <cell r="P46">
            <v>0</v>
          </cell>
        </row>
        <row r="47">
          <cell r="B47" t="str">
            <v>FY15-Univ Cash</v>
          </cell>
          <cell r="C47" t="str">
            <v>Univ Cash</v>
          </cell>
          <cell r="D47">
            <v>0</v>
          </cell>
          <cell r="E47">
            <v>0</v>
          </cell>
          <cell r="F47">
            <v>0</v>
          </cell>
          <cell r="G47">
            <v>0</v>
          </cell>
          <cell r="H47">
            <v>0</v>
          </cell>
          <cell r="I47">
            <v>0</v>
          </cell>
          <cell r="J47">
            <v>0</v>
          </cell>
          <cell r="K47">
            <v>0</v>
          </cell>
          <cell r="L47">
            <v>0</v>
          </cell>
          <cell r="M47">
            <v>0</v>
          </cell>
          <cell r="N47">
            <v>0</v>
          </cell>
          <cell r="O47">
            <v>0</v>
          </cell>
          <cell r="P47">
            <v>0</v>
          </cell>
        </row>
        <row r="48">
          <cell r="B48" t="str">
            <v>FY15-CIO PBA</v>
          </cell>
          <cell r="C48" t="str">
            <v>CIO PBA</v>
          </cell>
          <cell r="D48">
            <v>0</v>
          </cell>
          <cell r="E48">
            <v>0</v>
          </cell>
          <cell r="F48">
            <v>0</v>
          </cell>
          <cell r="G48">
            <v>0</v>
          </cell>
          <cell r="H48">
            <v>0</v>
          </cell>
          <cell r="I48">
            <v>0</v>
          </cell>
          <cell r="J48">
            <v>0</v>
          </cell>
          <cell r="K48">
            <v>0</v>
          </cell>
          <cell r="L48">
            <v>0</v>
          </cell>
          <cell r="M48">
            <v>0</v>
          </cell>
          <cell r="N48">
            <v>0</v>
          </cell>
          <cell r="O48">
            <v>0</v>
          </cell>
          <cell r="P48">
            <v>0</v>
          </cell>
        </row>
        <row r="49">
          <cell r="B49" t="str">
            <v>FY15-CIO Cash</v>
          </cell>
          <cell r="C49" t="str">
            <v>CIO Cash</v>
          </cell>
          <cell r="D49">
            <v>0</v>
          </cell>
          <cell r="E49">
            <v>0</v>
          </cell>
          <cell r="F49">
            <v>0</v>
          </cell>
          <cell r="G49">
            <v>0</v>
          </cell>
          <cell r="H49">
            <v>0</v>
          </cell>
          <cell r="I49">
            <v>0</v>
          </cell>
          <cell r="J49">
            <v>0</v>
          </cell>
          <cell r="K49">
            <v>0</v>
          </cell>
          <cell r="L49">
            <v>0</v>
          </cell>
          <cell r="M49">
            <v>0</v>
          </cell>
          <cell r="N49">
            <v>0</v>
          </cell>
          <cell r="O49">
            <v>0</v>
          </cell>
          <cell r="P49">
            <v>0</v>
          </cell>
        </row>
        <row r="50">
          <cell r="B50" t="str">
            <v>FY15-Other Cash</v>
          </cell>
          <cell r="C50" t="str">
            <v>Other Cash</v>
          </cell>
          <cell r="D50">
            <v>0</v>
          </cell>
          <cell r="E50">
            <v>0</v>
          </cell>
          <cell r="F50">
            <v>0</v>
          </cell>
          <cell r="G50">
            <v>0</v>
          </cell>
          <cell r="H50">
            <v>0</v>
          </cell>
          <cell r="I50">
            <v>0</v>
          </cell>
          <cell r="J50">
            <v>0</v>
          </cell>
          <cell r="K50">
            <v>0</v>
          </cell>
          <cell r="L50">
            <v>0</v>
          </cell>
          <cell r="M50">
            <v>0</v>
          </cell>
          <cell r="N50">
            <v>0</v>
          </cell>
          <cell r="O50">
            <v>0</v>
          </cell>
          <cell r="P50">
            <v>0</v>
          </cell>
        </row>
        <row r="51">
          <cell r="B51" t="str">
            <v>FY15-Donated Resources</v>
          </cell>
          <cell r="C51" t="str">
            <v>Donated Resources</v>
          </cell>
          <cell r="D51">
            <v>0</v>
          </cell>
          <cell r="E51">
            <v>0</v>
          </cell>
          <cell r="F51">
            <v>0</v>
          </cell>
          <cell r="G51">
            <v>0</v>
          </cell>
          <cell r="H51">
            <v>0</v>
          </cell>
          <cell r="I51">
            <v>0</v>
          </cell>
          <cell r="J51">
            <v>0</v>
          </cell>
          <cell r="K51">
            <v>0</v>
          </cell>
          <cell r="L51">
            <v>0</v>
          </cell>
          <cell r="M51">
            <v>0</v>
          </cell>
          <cell r="N51">
            <v>0</v>
          </cell>
          <cell r="O51">
            <v>0</v>
          </cell>
          <cell r="P51">
            <v>0</v>
          </cell>
        </row>
        <row r="52">
          <cell r="B52" t="str">
            <v>FY15-Other non-Cash</v>
          </cell>
          <cell r="C52" t="str">
            <v>Other non-Cash</v>
          </cell>
          <cell r="D52">
            <v>0</v>
          </cell>
          <cell r="E52">
            <v>0</v>
          </cell>
          <cell r="F52">
            <v>0</v>
          </cell>
          <cell r="G52">
            <v>0</v>
          </cell>
          <cell r="H52">
            <v>0</v>
          </cell>
          <cell r="I52">
            <v>0</v>
          </cell>
          <cell r="J52">
            <v>0</v>
          </cell>
          <cell r="K52">
            <v>0</v>
          </cell>
          <cell r="L52">
            <v>0</v>
          </cell>
          <cell r="M52">
            <v>0</v>
          </cell>
          <cell r="N52">
            <v>0</v>
          </cell>
          <cell r="O52">
            <v>0</v>
          </cell>
          <cell r="P52">
            <v>0</v>
          </cell>
        </row>
        <row r="53">
          <cell r="B53" t="str">
            <v>FY15-Total Cash-Based</v>
          </cell>
          <cell r="C53" t="str">
            <v>Total Cash-Based</v>
          </cell>
          <cell r="D53">
            <v>0</v>
          </cell>
          <cell r="E53">
            <v>0</v>
          </cell>
          <cell r="F53">
            <v>0</v>
          </cell>
          <cell r="G53">
            <v>0</v>
          </cell>
          <cell r="H53">
            <v>0</v>
          </cell>
          <cell r="I53">
            <v>0</v>
          </cell>
          <cell r="J53">
            <v>0</v>
          </cell>
          <cell r="K53">
            <v>0</v>
          </cell>
          <cell r="L53">
            <v>0</v>
          </cell>
          <cell r="M53">
            <v>0</v>
          </cell>
          <cell r="N53">
            <v>0</v>
          </cell>
          <cell r="O53">
            <v>0</v>
          </cell>
          <cell r="P53">
            <v>0</v>
          </cell>
        </row>
        <row r="54">
          <cell r="B54" t="str">
            <v>FY15-Total non-Cash Based</v>
          </cell>
          <cell r="C54" t="str">
            <v>Total non-Cash Based</v>
          </cell>
          <cell r="D54">
            <v>0</v>
          </cell>
          <cell r="E54">
            <v>0</v>
          </cell>
          <cell r="F54">
            <v>0</v>
          </cell>
          <cell r="G54">
            <v>0</v>
          </cell>
          <cell r="H54">
            <v>0</v>
          </cell>
          <cell r="I54">
            <v>0</v>
          </cell>
          <cell r="J54">
            <v>0</v>
          </cell>
          <cell r="K54">
            <v>0</v>
          </cell>
          <cell r="L54">
            <v>0</v>
          </cell>
          <cell r="M54">
            <v>0</v>
          </cell>
          <cell r="N54">
            <v>0</v>
          </cell>
          <cell r="O54">
            <v>0</v>
          </cell>
          <cell r="P54">
            <v>0</v>
          </cell>
        </row>
        <row r="55">
          <cell r="B55" t="str">
            <v>FY15-Grand total</v>
          </cell>
          <cell r="C55" t="str">
            <v>Grand total</v>
          </cell>
          <cell r="D55">
            <v>0</v>
          </cell>
          <cell r="E55">
            <v>0</v>
          </cell>
          <cell r="F55">
            <v>0</v>
          </cell>
          <cell r="G55">
            <v>0</v>
          </cell>
          <cell r="H55">
            <v>0</v>
          </cell>
          <cell r="I55">
            <v>0</v>
          </cell>
          <cell r="J55">
            <v>0</v>
          </cell>
          <cell r="K55">
            <v>0</v>
          </cell>
          <cell r="L55">
            <v>0</v>
          </cell>
          <cell r="M55">
            <v>0</v>
          </cell>
          <cell r="N55">
            <v>0</v>
          </cell>
          <cell r="O55">
            <v>0</v>
          </cell>
          <cell r="P55">
            <v>0</v>
          </cell>
        </row>
        <row r="56">
          <cell r="B56" t="str">
            <v>FY16-Univ PBA</v>
          </cell>
          <cell r="C56" t="str">
            <v>Univ PBA</v>
          </cell>
          <cell r="D56">
            <v>0</v>
          </cell>
          <cell r="E56">
            <v>0</v>
          </cell>
          <cell r="F56">
            <v>0</v>
          </cell>
          <cell r="G56">
            <v>0</v>
          </cell>
          <cell r="H56">
            <v>0</v>
          </cell>
          <cell r="I56">
            <v>0</v>
          </cell>
          <cell r="J56">
            <v>0</v>
          </cell>
          <cell r="K56">
            <v>0</v>
          </cell>
          <cell r="L56">
            <v>0</v>
          </cell>
          <cell r="M56">
            <v>0</v>
          </cell>
          <cell r="N56">
            <v>0</v>
          </cell>
          <cell r="O56">
            <v>0</v>
          </cell>
          <cell r="P56">
            <v>0</v>
          </cell>
        </row>
        <row r="57">
          <cell r="B57" t="str">
            <v>FY16-Univ Cash</v>
          </cell>
          <cell r="C57" t="str">
            <v>Univ Cash</v>
          </cell>
          <cell r="D57">
            <v>0</v>
          </cell>
          <cell r="E57">
            <v>0</v>
          </cell>
          <cell r="F57">
            <v>0</v>
          </cell>
          <cell r="G57">
            <v>0</v>
          </cell>
          <cell r="H57">
            <v>0</v>
          </cell>
          <cell r="I57">
            <v>0</v>
          </cell>
          <cell r="J57">
            <v>0</v>
          </cell>
          <cell r="K57">
            <v>0</v>
          </cell>
          <cell r="L57">
            <v>0</v>
          </cell>
          <cell r="M57">
            <v>0</v>
          </cell>
          <cell r="N57">
            <v>0</v>
          </cell>
          <cell r="O57">
            <v>0</v>
          </cell>
          <cell r="P57">
            <v>0</v>
          </cell>
        </row>
        <row r="58">
          <cell r="B58" t="str">
            <v>FY16-CIO PBA</v>
          </cell>
          <cell r="C58" t="str">
            <v>CIO PBA</v>
          </cell>
          <cell r="D58">
            <v>0</v>
          </cell>
          <cell r="E58">
            <v>0</v>
          </cell>
          <cell r="F58">
            <v>0</v>
          </cell>
          <cell r="G58">
            <v>0</v>
          </cell>
          <cell r="H58">
            <v>0</v>
          </cell>
          <cell r="I58">
            <v>0</v>
          </cell>
          <cell r="J58">
            <v>0</v>
          </cell>
          <cell r="K58">
            <v>0</v>
          </cell>
          <cell r="L58">
            <v>0</v>
          </cell>
          <cell r="M58">
            <v>0</v>
          </cell>
          <cell r="N58">
            <v>0</v>
          </cell>
          <cell r="O58">
            <v>0</v>
          </cell>
          <cell r="P58">
            <v>0</v>
          </cell>
        </row>
        <row r="59">
          <cell r="B59" t="str">
            <v>FY16-CIO Cash</v>
          </cell>
          <cell r="C59" t="str">
            <v>CIO Cash</v>
          </cell>
          <cell r="D59">
            <v>0</v>
          </cell>
          <cell r="E59">
            <v>0</v>
          </cell>
          <cell r="F59">
            <v>0</v>
          </cell>
          <cell r="G59">
            <v>0</v>
          </cell>
          <cell r="H59">
            <v>0</v>
          </cell>
          <cell r="I59">
            <v>0</v>
          </cell>
          <cell r="J59">
            <v>0</v>
          </cell>
          <cell r="K59">
            <v>0</v>
          </cell>
          <cell r="L59">
            <v>0</v>
          </cell>
          <cell r="M59">
            <v>0</v>
          </cell>
          <cell r="N59">
            <v>0</v>
          </cell>
          <cell r="O59">
            <v>0</v>
          </cell>
          <cell r="P59">
            <v>0</v>
          </cell>
        </row>
        <row r="60">
          <cell r="B60" t="str">
            <v>FY16-Other Cash</v>
          </cell>
          <cell r="C60" t="str">
            <v>Other Cash</v>
          </cell>
          <cell r="D60">
            <v>0</v>
          </cell>
          <cell r="E60">
            <v>0</v>
          </cell>
          <cell r="F60">
            <v>0</v>
          </cell>
          <cell r="G60">
            <v>0</v>
          </cell>
          <cell r="H60">
            <v>0</v>
          </cell>
          <cell r="I60">
            <v>0</v>
          </cell>
          <cell r="J60">
            <v>0</v>
          </cell>
          <cell r="K60">
            <v>0</v>
          </cell>
          <cell r="L60">
            <v>0</v>
          </cell>
          <cell r="M60">
            <v>0</v>
          </cell>
          <cell r="N60">
            <v>0</v>
          </cell>
          <cell r="O60">
            <v>0</v>
          </cell>
          <cell r="P60">
            <v>0</v>
          </cell>
        </row>
        <row r="61">
          <cell r="B61" t="str">
            <v>FY16-Donated Resources</v>
          </cell>
          <cell r="C61" t="str">
            <v>Donated Resources</v>
          </cell>
          <cell r="D61">
            <v>0</v>
          </cell>
          <cell r="E61">
            <v>0</v>
          </cell>
          <cell r="F61">
            <v>0</v>
          </cell>
          <cell r="G61">
            <v>0</v>
          </cell>
          <cell r="H61">
            <v>0</v>
          </cell>
          <cell r="I61">
            <v>0</v>
          </cell>
          <cell r="J61">
            <v>0</v>
          </cell>
          <cell r="K61">
            <v>0</v>
          </cell>
          <cell r="L61">
            <v>0</v>
          </cell>
          <cell r="M61">
            <v>0</v>
          </cell>
          <cell r="N61">
            <v>0</v>
          </cell>
          <cell r="O61">
            <v>0</v>
          </cell>
          <cell r="P61">
            <v>0</v>
          </cell>
        </row>
        <row r="62">
          <cell r="B62" t="str">
            <v>FY16-Other non-Cash</v>
          </cell>
          <cell r="C62" t="str">
            <v>Other non-Cash</v>
          </cell>
          <cell r="D62">
            <v>0</v>
          </cell>
          <cell r="E62">
            <v>0</v>
          </cell>
          <cell r="F62">
            <v>0</v>
          </cell>
          <cell r="G62">
            <v>0</v>
          </cell>
          <cell r="H62">
            <v>0</v>
          </cell>
          <cell r="I62">
            <v>0</v>
          </cell>
          <cell r="J62">
            <v>0</v>
          </cell>
          <cell r="K62">
            <v>0</v>
          </cell>
          <cell r="L62">
            <v>0</v>
          </cell>
          <cell r="M62">
            <v>0</v>
          </cell>
          <cell r="N62">
            <v>0</v>
          </cell>
          <cell r="O62">
            <v>0</v>
          </cell>
          <cell r="P62">
            <v>0</v>
          </cell>
        </row>
        <row r="63">
          <cell r="B63" t="str">
            <v>FY16-Total Cash-Based</v>
          </cell>
          <cell r="C63" t="str">
            <v>Total Cash-Based</v>
          </cell>
          <cell r="D63">
            <v>0</v>
          </cell>
          <cell r="E63">
            <v>0</v>
          </cell>
          <cell r="F63">
            <v>0</v>
          </cell>
          <cell r="G63">
            <v>0</v>
          </cell>
          <cell r="H63">
            <v>0</v>
          </cell>
          <cell r="I63">
            <v>0</v>
          </cell>
          <cell r="J63">
            <v>0</v>
          </cell>
          <cell r="K63">
            <v>0</v>
          </cell>
          <cell r="L63">
            <v>0</v>
          </cell>
          <cell r="M63">
            <v>0</v>
          </cell>
          <cell r="N63">
            <v>0</v>
          </cell>
          <cell r="O63">
            <v>0</v>
          </cell>
          <cell r="P63">
            <v>0</v>
          </cell>
        </row>
        <row r="64">
          <cell r="B64" t="str">
            <v>FY16-Total non-Cash Based</v>
          </cell>
          <cell r="C64" t="str">
            <v>Total non-Cash Based</v>
          </cell>
          <cell r="D64">
            <v>0</v>
          </cell>
          <cell r="E64">
            <v>0</v>
          </cell>
          <cell r="F64">
            <v>0</v>
          </cell>
          <cell r="G64">
            <v>0</v>
          </cell>
          <cell r="H64">
            <v>0</v>
          </cell>
          <cell r="I64">
            <v>0</v>
          </cell>
          <cell r="J64">
            <v>0</v>
          </cell>
          <cell r="K64">
            <v>0</v>
          </cell>
          <cell r="L64">
            <v>0</v>
          </cell>
          <cell r="M64">
            <v>0</v>
          </cell>
          <cell r="N64">
            <v>0</v>
          </cell>
          <cell r="O64">
            <v>0</v>
          </cell>
          <cell r="P64">
            <v>0</v>
          </cell>
        </row>
        <row r="65">
          <cell r="B65" t="str">
            <v>FY16-Grand total</v>
          </cell>
          <cell r="C65" t="str">
            <v>Grand total</v>
          </cell>
          <cell r="D65">
            <v>0</v>
          </cell>
          <cell r="E65">
            <v>0</v>
          </cell>
          <cell r="F65">
            <v>0</v>
          </cell>
          <cell r="G65">
            <v>0</v>
          </cell>
          <cell r="H65">
            <v>0</v>
          </cell>
          <cell r="I65">
            <v>0</v>
          </cell>
          <cell r="J65">
            <v>0</v>
          </cell>
          <cell r="K65">
            <v>0</v>
          </cell>
          <cell r="L65">
            <v>0</v>
          </cell>
          <cell r="M65">
            <v>0</v>
          </cell>
          <cell r="N65">
            <v>0</v>
          </cell>
          <cell r="O65">
            <v>0</v>
          </cell>
          <cell r="P65">
            <v>0</v>
          </cell>
        </row>
        <row r="67">
          <cell r="B67" t="str">
            <v>Total-Univ PBA</v>
          </cell>
          <cell r="C67" t="str">
            <v>Univ PBA</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Total-Univ Cash</v>
          </cell>
          <cell r="C68" t="str">
            <v>Univ Cash</v>
          </cell>
          <cell r="D68">
            <v>0</v>
          </cell>
          <cell r="E68">
            <v>0</v>
          </cell>
          <cell r="F68">
            <v>0</v>
          </cell>
          <cell r="G68">
            <v>0</v>
          </cell>
          <cell r="H68">
            <v>0</v>
          </cell>
          <cell r="I68">
            <v>0</v>
          </cell>
          <cell r="J68">
            <v>0</v>
          </cell>
          <cell r="K68">
            <v>0</v>
          </cell>
          <cell r="L68">
            <v>0</v>
          </cell>
          <cell r="M68">
            <v>0</v>
          </cell>
          <cell r="N68">
            <v>0</v>
          </cell>
          <cell r="O68">
            <v>0</v>
          </cell>
          <cell r="P68">
            <v>0</v>
          </cell>
        </row>
        <row r="69">
          <cell r="B69" t="str">
            <v>Total-CIO PBA</v>
          </cell>
          <cell r="C69" t="str">
            <v>CIO PBA</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Total-CIO Cash</v>
          </cell>
          <cell r="C70" t="str">
            <v>CIO Cash</v>
          </cell>
          <cell r="D70">
            <v>0</v>
          </cell>
          <cell r="E70">
            <v>0</v>
          </cell>
          <cell r="F70">
            <v>0</v>
          </cell>
          <cell r="G70">
            <v>0</v>
          </cell>
          <cell r="H70">
            <v>0</v>
          </cell>
          <cell r="I70">
            <v>0</v>
          </cell>
          <cell r="J70">
            <v>0</v>
          </cell>
          <cell r="K70">
            <v>0</v>
          </cell>
          <cell r="L70">
            <v>0</v>
          </cell>
          <cell r="M70">
            <v>0</v>
          </cell>
          <cell r="N70">
            <v>0</v>
          </cell>
          <cell r="O70">
            <v>0</v>
          </cell>
          <cell r="P70">
            <v>0</v>
          </cell>
        </row>
        <row r="71">
          <cell r="B71" t="str">
            <v>Total-Other Cash</v>
          </cell>
          <cell r="C71" t="str">
            <v>Other Cash</v>
          </cell>
          <cell r="D71">
            <v>0</v>
          </cell>
          <cell r="E71">
            <v>0</v>
          </cell>
          <cell r="F71">
            <v>0</v>
          </cell>
          <cell r="G71">
            <v>0</v>
          </cell>
          <cell r="H71">
            <v>0</v>
          </cell>
          <cell r="I71">
            <v>0</v>
          </cell>
          <cell r="J71">
            <v>0</v>
          </cell>
          <cell r="K71">
            <v>0</v>
          </cell>
          <cell r="L71">
            <v>0</v>
          </cell>
          <cell r="M71">
            <v>0</v>
          </cell>
          <cell r="N71">
            <v>0</v>
          </cell>
          <cell r="O71">
            <v>0</v>
          </cell>
          <cell r="P71">
            <v>0</v>
          </cell>
        </row>
        <row r="72">
          <cell r="B72" t="str">
            <v>Total-Donated Resources</v>
          </cell>
          <cell r="C72" t="str">
            <v>Donated Resources</v>
          </cell>
          <cell r="D72">
            <v>0</v>
          </cell>
          <cell r="E72">
            <v>0</v>
          </cell>
          <cell r="F72">
            <v>0</v>
          </cell>
          <cell r="G72">
            <v>0</v>
          </cell>
          <cell r="H72">
            <v>0</v>
          </cell>
          <cell r="I72">
            <v>0</v>
          </cell>
          <cell r="J72">
            <v>0</v>
          </cell>
          <cell r="K72">
            <v>0</v>
          </cell>
          <cell r="L72">
            <v>0</v>
          </cell>
          <cell r="M72">
            <v>0</v>
          </cell>
          <cell r="N72">
            <v>0</v>
          </cell>
          <cell r="O72">
            <v>0</v>
          </cell>
          <cell r="P72">
            <v>0</v>
          </cell>
        </row>
        <row r="73">
          <cell r="B73" t="str">
            <v>Total-Other non-Cash</v>
          </cell>
          <cell r="C73" t="str">
            <v>Other non-Cash</v>
          </cell>
          <cell r="D73">
            <v>0</v>
          </cell>
          <cell r="E73">
            <v>0</v>
          </cell>
          <cell r="F73">
            <v>0</v>
          </cell>
          <cell r="G73">
            <v>0</v>
          </cell>
          <cell r="H73">
            <v>0</v>
          </cell>
          <cell r="I73">
            <v>0</v>
          </cell>
          <cell r="J73">
            <v>0</v>
          </cell>
          <cell r="K73">
            <v>0</v>
          </cell>
          <cell r="L73">
            <v>0</v>
          </cell>
          <cell r="M73">
            <v>0</v>
          </cell>
          <cell r="N73">
            <v>0</v>
          </cell>
          <cell r="O73">
            <v>0</v>
          </cell>
          <cell r="P73">
            <v>0</v>
          </cell>
        </row>
        <row r="74">
          <cell r="B74" t="str">
            <v>Total-Total Cash-Based</v>
          </cell>
          <cell r="C74" t="str">
            <v>Total Cash-Based</v>
          </cell>
          <cell r="D74">
            <v>0</v>
          </cell>
          <cell r="E74">
            <v>0</v>
          </cell>
          <cell r="F74">
            <v>0</v>
          </cell>
          <cell r="G74">
            <v>0</v>
          </cell>
          <cell r="H74">
            <v>0</v>
          </cell>
          <cell r="I74">
            <v>0</v>
          </cell>
          <cell r="J74">
            <v>0</v>
          </cell>
          <cell r="K74">
            <v>0</v>
          </cell>
          <cell r="L74">
            <v>0</v>
          </cell>
          <cell r="M74">
            <v>0</v>
          </cell>
          <cell r="N74">
            <v>0</v>
          </cell>
          <cell r="O74">
            <v>0</v>
          </cell>
          <cell r="P74">
            <v>0</v>
          </cell>
        </row>
        <row r="75">
          <cell r="B75" t="str">
            <v>Total-Total non-Cash Based</v>
          </cell>
          <cell r="C75" t="str">
            <v>Total non-Cash Based</v>
          </cell>
          <cell r="D75">
            <v>0</v>
          </cell>
          <cell r="E75">
            <v>0</v>
          </cell>
          <cell r="F75">
            <v>0</v>
          </cell>
          <cell r="G75">
            <v>0</v>
          </cell>
          <cell r="H75">
            <v>0</v>
          </cell>
          <cell r="I75">
            <v>0</v>
          </cell>
          <cell r="J75">
            <v>0</v>
          </cell>
          <cell r="K75">
            <v>0</v>
          </cell>
          <cell r="L75">
            <v>0</v>
          </cell>
          <cell r="M75">
            <v>0</v>
          </cell>
          <cell r="N75">
            <v>0</v>
          </cell>
          <cell r="O75">
            <v>0</v>
          </cell>
          <cell r="P75">
            <v>0</v>
          </cell>
        </row>
        <row r="76">
          <cell r="B76" t="str">
            <v>Total-Grand total</v>
          </cell>
          <cell r="C76" t="str">
            <v>Grand total</v>
          </cell>
          <cell r="D76">
            <v>0</v>
          </cell>
          <cell r="E76">
            <v>0</v>
          </cell>
          <cell r="F76">
            <v>0</v>
          </cell>
          <cell r="G76">
            <v>0</v>
          </cell>
          <cell r="H76">
            <v>0</v>
          </cell>
          <cell r="I76">
            <v>0</v>
          </cell>
          <cell r="J76">
            <v>0</v>
          </cell>
          <cell r="K76">
            <v>0</v>
          </cell>
          <cell r="L76">
            <v>0</v>
          </cell>
          <cell r="M76">
            <v>0</v>
          </cell>
          <cell r="N76">
            <v>0</v>
          </cell>
          <cell r="O76">
            <v>0</v>
          </cell>
          <cell r="P76">
            <v>0</v>
          </cell>
        </row>
      </sheetData>
      <sheetData sheetId="12" refreshError="1"/>
      <sheetData sheetId="13" refreshError="1"/>
      <sheetData sheetId="14" refreshError="1">
        <row r="2">
          <cell r="F2">
            <v>1</v>
          </cell>
          <cell r="G2">
            <v>12</v>
          </cell>
        </row>
        <row r="5">
          <cell r="F5">
            <v>41486</v>
          </cell>
          <cell r="I5" t="str">
            <v>FY14</v>
          </cell>
        </row>
        <row r="11">
          <cell r="F11" t="str">
            <v>FY14-Non-Labor Cost</v>
          </cell>
        </row>
        <row r="12">
          <cell r="F12" t="str">
            <v>FY14-Cash Labor Costs</v>
          </cell>
        </row>
        <row r="13">
          <cell r="F13" t="str">
            <v>FY14-Non-Cash Labor Costs</v>
          </cell>
        </row>
        <row r="14">
          <cell r="F14" t="str">
            <v>FY14-Cash Labor Hours</v>
          </cell>
        </row>
        <row r="15">
          <cell r="F15" t="str">
            <v>FY14-Non-Cash Labor Hours</v>
          </cell>
        </row>
        <row r="23">
          <cell r="F23" t="str">
            <v>FY14-Total Cash-Based</v>
          </cell>
        </row>
        <row r="24">
          <cell r="F24" t="str">
            <v>FY14-Total non-Cash Based</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Notes"/>
      <sheetName val="Funding Summary"/>
      <sheetName val="GL FY12"/>
      <sheetName val="GL FY13"/>
      <sheetName val="GL FY14"/>
      <sheetName val="Labor Plan"/>
      <sheetName val="MS Project Data - Plan"/>
      <sheetName val="Labor Forecast"/>
      <sheetName val="MS Project Data - Forecast"/>
      <sheetName val="Labor Hours-FY12"/>
      <sheetName val="Labor Hours-FY13"/>
      <sheetName val="Labor Hours-FY14"/>
      <sheetName val="Budget"/>
      <sheetName val="Planned"/>
      <sheetName val="Forecast"/>
      <sheetName val="Ops Support"/>
      <sheetName val="Definitions "/>
      <sheetName val="Reference"/>
      <sheetName val="Consultants"/>
    </sheetNames>
    <sheetDataSet>
      <sheetData sheetId="0">
        <row r="2">
          <cell r="E2" t="str">
            <v>OCIO Patch &amp; Vulnerability Mgt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4" t="str">
            <v>FY12-Non-Labor Cost</v>
          </cell>
          <cell r="C4" t="str">
            <v>Non-Labor Cost</v>
          </cell>
          <cell r="D4">
            <v>0</v>
          </cell>
          <cell r="E4">
            <v>0</v>
          </cell>
          <cell r="F4">
            <v>0</v>
          </cell>
          <cell r="G4">
            <v>0</v>
          </cell>
          <cell r="H4">
            <v>0</v>
          </cell>
          <cell r="I4">
            <v>0</v>
          </cell>
          <cell r="J4">
            <v>44420</v>
          </cell>
          <cell r="K4">
            <v>0</v>
          </cell>
          <cell r="L4">
            <v>0</v>
          </cell>
          <cell r="M4">
            <v>44420</v>
          </cell>
          <cell r="N4">
            <v>0</v>
          </cell>
          <cell r="O4">
            <v>0</v>
          </cell>
          <cell r="P4">
            <v>88840</v>
          </cell>
          <cell r="R4" t="str">
            <v>FY12-Non-Labor Cost</v>
          </cell>
          <cell r="S4">
            <v>0</v>
          </cell>
          <cell r="T4">
            <v>0</v>
          </cell>
          <cell r="U4">
            <v>0</v>
          </cell>
          <cell r="V4">
            <v>0</v>
          </cell>
          <cell r="W4">
            <v>0</v>
          </cell>
          <cell r="X4">
            <v>0</v>
          </cell>
          <cell r="Y4">
            <v>44420</v>
          </cell>
          <cell r="Z4">
            <v>44420</v>
          </cell>
          <cell r="AA4">
            <v>44420</v>
          </cell>
          <cell r="AB4">
            <v>88840</v>
          </cell>
          <cell r="AC4">
            <v>88840</v>
          </cell>
          <cell r="AD4">
            <v>88840</v>
          </cell>
        </row>
        <row r="5">
          <cell r="B5" t="str">
            <v>FY12-Cash Labor Costs</v>
          </cell>
          <cell r="C5" t="str">
            <v>Cash Labor Costs</v>
          </cell>
          <cell r="D5">
            <v>16080</v>
          </cell>
          <cell r="E5">
            <v>22080</v>
          </cell>
          <cell r="F5">
            <v>19440</v>
          </cell>
          <cell r="G5">
            <v>20160</v>
          </cell>
          <cell r="H5">
            <v>17040</v>
          </cell>
          <cell r="I5">
            <v>32610</v>
          </cell>
          <cell r="J5">
            <v>41023.5</v>
          </cell>
          <cell r="K5">
            <v>51810</v>
          </cell>
          <cell r="L5">
            <v>56010</v>
          </cell>
          <cell r="M5">
            <v>52650</v>
          </cell>
          <cell r="N5">
            <v>64410</v>
          </cell>
          <cell r="O5">
            <v>62286.5</v>
          </cell>
          <cell r="P5">
            <v>455600</v>
          </cell>
          <cell r="R5" t="str">
            <v>FY12-Cash Labor Costs</v>
          </cell>
          <cell r="S5">
            <v>16080</v>
          </cell>
          <cell r="T5">
            <v>38160</v>
          </cell>
          <cell r="U5">
            <v>57600</v>
          </cell>
          <cell r="V5">
            <v>77760</v>
          </cell>
          <cell r="W5">
            <v>94800</v>
          </cell>
          <cell r="X5">
            <v>127410</v>
          </cell>
          <cell r="Y5">
            <v>168433.5</v>
          </cell>
          <cell r="Z5">
            <v>220243.5</v>
          </cell>
          <cell r="AA5">
            <v>276253.5</v>
          </cell>
          <cell r="AB5">
            <v>328903.5</v>
          </cell>
          <cell r="AC5">
            <v>393313.5</v>
          </cell>
          <cell r="AD5">
            <v>455600</v>
          </cell>
        </row>
        <row r="6">
          <cell r="B6" t="str">
            <v>FY12-Non-Cash Labor Costs</v>
          </cell>
          <cell r="C6" t="str">
            <v>Non-Cash Labor Costs</v>
          </cell>
          <cell r="D6">
            <v>0</v>
          </cell>
          <cell r="E6">
            <v>8000</v>
          </cell>
          <cell r="F6">
            <v>8000</v>
          </cell>
          <cell r="G6">
            <v>21540</v>
          </cell>
          <cell r="H6">
            <v>21060</v>
          </cell>
          <cell r="I6">
            <v>31412.799999999992</v>
          </cell>
          <cell r="J6">
            <v>92140.800000000003</v>
          </cell>
          <cell r="K6">
            <v>40460.000000000007</v>
          </cell>
          <cell r="L6">
            <v>56928.800000000032</v>
          </cell>
          <cell r="M6">
            <v>50701.60000000002</v>
          </cell>
          <cell r="N6">
            <v>39926.399999999994</v>
          </cell>
          <cell r="O6">
            <v>14469.599999999977</v>
          </cell>
          <cell r="P6">
            <v>384640</v>
          </cell>
          <cell r="R6" t="str">
            <v>FY12-Non-Cash Labor Costs</v>
          </cell>
          <cell r="S6">
            <v>0</v>
          </cell>
          <cell r="T6">
            <v>8000</v>
          </cell>
          <cell r="U6">
            <v>16000</v>
          </cell>
          <cell r="V6">
            <v>37540</v>
          </cell>
          <cell r="W6">
            <v>58600</v>
          </cell>
          <cell r="X6">
            <v>90012.799999999988</v>
          </cell>
          <cell r="Y6">
            <v>182153.59999999998</v>
          </cell>
          <cell r="Z6">
            <v>222613.59999999998</v>
          </cell>
          <cell r="AA6">
            <v>279542.40000000002</v>
          </cell>
          <cell r="AB6">
            <v>330244.00000000006</v>
          </cell>
          <cell r="AC6">
            <v>370170.4</v>
          </cell>
          <cell r="AD6">
            <v>384640</v>
          </cell>
        </row>
        <row r="7">
          <cell r="B7" t="str">
            <v>FY12-Cash Labor Hours</v>
          </cell>
          <cell r="C7" t="str">
            <v>Cash Labor Hours</v>
          </cell>
          <cell r="D7">
            <v>134</v>
          </cell>
          <cell r="E7">
            <v>184</v>
          </cell>
          <cell r="F7">
            <v>162</v>
          </cell>
          <cell r="G7">
            <v>168</v>
          </cell>
          <cell r="H7">
            <v>142</v>
          </cell>
          <cell r="I7">
            <v>309</v>
          </cell>
          <cell r="J7">
            <v>389.15</v>
          </cell>
          <cell r="K7">
            <v>493</v>
          </cell>
          <cell r="L7">
            <v>533</v>
          </cell>
          <cell r="M7">
            <v>501</v>
          </cell>
          <cell r="N7">
            <v>613</v>
          </cell>
          <cell r="O7">
            <v>595.91999999999996</v>
          </cell>
          <cell r="P7">
            <v>4224.07</v>
          </cell>
          <cell r="R7" t="str">
            <v>FY12-Cash Labor Hours</v>
          </cell>
          <cell r="S7">
            <v>134</v>
          </cell>
          <cell r="T7">
            <v>318</v>
          </cell>
          <cell r="U7">
            <v>480</v>
          </cell>
          <cell r="V7">
            <v>648</v>
          </cell>
          <cell r="W7">
            <v>790</v>
          </cell>
          <cell r="X7">
            <v>1099</v>
          </cell>
          <cell r="Y7">
            <v>1488.15</v>
          </cell>
          <cell r="Z7">
            <v>1981.15</v>
          </cell>
          <cell r="AA7">
            <v>2514.15</v>
          </cell>
          <cell r="AB7">
            <v>3015.15</v>
          </cell>
          <cell r="AC7">
            <v>3628.15</v>
          </cell>
          <cell r="AD7">
            <v>4224.07</v>
          </cell>
        </row>
        <row r="8">
          <cell r="B8" t="str">
            <v>FY12-Non-Cash Labor Hours</v>
          </cell>
          <cell r="C8" t="str">
            <v>Non-Cash Labor Hours</v>
          </cell>
          <cell r="D8">
            <v>0</v>
          </cell>
          <cell r="E8">
            <v>100</v>
          </cell>
          <cell r="F8">
            <v>100</v>
          </cell>
          <cell r="G8">
            <v>269.25</v>
          </cell>
          <cell r="H8">
            <v>263.25</v>
          </cell>
          <cell r="I8">
            <v>392.66000000000008</v>
          </cell>
          <cell r="J8">
            <v>1151.76</v>
          </cell>
          <cell r="K8">
            <v>505.75</v>
          </cell>
          <cell r="L8">
            <v>711.6099999999999</v>
          </cell>
          <cell r="M8">
            <v>633.77</v>
          </cell>
          <cell r="N8">
            <v>499.08000000000004</v>
          </cell>
          <cell r="O8">
            <v>180.57999999999996</v>
          </cell>
          <cell r="P8">
            <v>4807.7099999999991</v>
          </cell>
          <cell r="R8" t="str">
            <v>FY12-Non-Cash Labor Hours</v>
          </cell>
          <cell r="S8">
            <v>0</v>
          </cell>
          <cell r="T8">
            <v>100</v>
          </cell>
          <cell r="U8">
            <v>200</v>
          </cell>
          <cell r="V8">
            <v>469.25</v>
          </cell>
          <cell r="W8">
            <v>732.5</v>
          </cell>
          <cell r="X8">
            <v>1125.1600000000001</v>
          </cell>
          <cell r="Y8">
            <v>2276.92</v>
          </cell>
          <cell r="Z8">
            <v>2782.67</v>
          </cell>
          <cell r="AA8">
            <v>3494.2799999999997</v>
          </cell>
          <cell r="AB8">
            <v>4128.0499999999993</v>
          </cell>
          <cell r="AC8">
            <v>4627.1299999999992</v>
          </cell>
          <cell r="AD8">
            <v>4807.7099999999991</v>
          </cell>
        </row>
        <row r="9">
          <cell r="B9" t="str">
            <v>FY12-Total Cost</v>
          </cell>
          <cell r="C9" t="str">
            <v>Total Cost</v>
          </cell>
          <cell r="D9">
            <v>16080</v>
          </cell>
          <cell r="E9">
            <v>30080</v>
          </cell>
          <cell r="F9">
            <v>27440</v>
          </cell>
          <cell r="G9">
            <v>41700</v>
          </cell>
          <cell r="H9">
            <v>38100</v>
          </cell>
          <cell r="I9">
            <v>64022.799999999988</v>
          </cell>
          <cell r="J9">
            <v>177584.3</v>
          </cell>
          <cell r="K9">
            <v>92270</v>
          </cell>
          <cell r="L9">
            <v>112938.80000000003</v>
          </cell>
          <cell r="M9">
            <v>147771.60000000003</v>
          </cell>
          <cell r="N9">
            <v>104336.4</v>
          </cell>
          <cell r="O9">
            <v>76756.099999999977</v>
          </cell>
          <cell r="P9">
            <v>929080</v>
          </cell>
          <cell r="R9" t="str">
            <v>FY12-Total Cost</v>
          </cell>
          <cell r="S9">
            <v>16080</v>
          </cell>
          <cell r="T9">
            <v>46160</v>
          </cell>
          <cell r="U9">
            <v>73600</v>
          </cell>
          <cell r="V9">
            <v>115300</v>
          </cell>
          <cell r="W9">
            <v>153400</v>
          </cell>
          <cell r="X9">
            <v>217422.8</v>
          </cell>
          <cell r="Y9">
            <v>395007.1</v>
          </cell>
          <cell r="Z9">
            <v>487277.1</v>
          </cell>
          <cell r="AA9">
            <v>600215.9</v>
          </cell>
          <cell r="AB9">
            <v>747987.5</v>
          </cell>
          <cell r="AC9">
            <v>852323.9</v>
          </cell>
          <cell r="AD9">
            <v>929080</v>
          </cell>
        </row>
        <row r="10">
          <cell r="B10" t="str">
            <v>FY12-Total Hours</v>
          </cell>
          <cell r="C10" t="str">
            <v>Total Hours</v>
          </cell>
          <cell r="D10">
            <v>134</v>
          </cell>
          <cell r="E10">
            <v>284</v>
          </cell>
          <cell r="F10">
            <v>262</v>
          </cell>
          <cell r="G10">
            <v>437.25</v>
          </cell>
          <cell r="H10">
            <v>405.25</v>
          </cell>
          <cell r="I10">
            <v>701.66000000000008</v>
          </cell>
          <cell r="J10">
            <v>1540.9099999999999</v>
          </cell>
          <cell r="K10">
            <v>998.75</v>
          </cell>
          <cell r="L10">
            <v>1244.6099999999999</v>
          </cell>
          <cell r="M10">
            <v>1134.77</v>
          </cell>
          <cell r="N10">
            <v>1112.08</v>
          </cell>
          <cell r="O10">
            <v>776.49999999999989</v>
          </cell>
          <cell r="P10">
            <v>9031.7799999999988</v>
          </cell>
          <cell r="R10" t="str">
            <v>FY12-Total Hours</v>
          </cell>
          <cell r="S10">
            <v>134</v>
          </cell>
          <cell r="T10">
            <v>418</v>
          </cell>
          <cell r="U10">
            <v>680</v>
          </cell>
          <cell r="V10">
            <v>1117.25</v>
          </cell>
          <cell r="W10">
            <v>1522.5</v>
          </cell>
          <cell r="X10">
            <v>2224.16</v>
          </cell>
          <cell r="Y10">
            <v>3765.07</v>
          </cell>
          <cell r="Z10">
            <v>4763.82</v>
          </cell>
          <cell r="AA10">
            <v>6008.43</v>
          </cell>
          <cell r="AB10">
            <v>7143.1999999999989</v>
          </cell>
          <cell r="AC10">
            <v>8255.2799999999988</v>
          </cell>
          <cell r="AD10">
            <v>9031.7799999999988</v>
          </cell>
        </row>
        <row r="11">
          <cell r="B11" t="str">
            <v>FY13-Non-Labor Cost</v>
          </cell>
          <cell r="C11" t="str">
            <v>Non-Labor Cost</v>
          </cell>
          <cell r="D11">
            <v>0</v>
          </cell>
          <cell r="E11">
            <v>0</v>
          </cell>
          <cell r="F11">
            <v>0</v>
          </cell>
          <cell r="G11">
            <v>0</v>
          </cell>
          <cell r="H11">
            <v>0</v>
          </cell>
          <cell r="I11">
            <v>0</v>
          </cell>
          <cell r="J11">
            <v>0</v>
          </cell>
          <cell r="K11">
            <v>0</v>
          </cell>
          <cell r="L11">
            <v>0</v>
          </cell>
          <cell r="M11">
            <v>0</v>
          </cell>
          <cell r="N11">
            <v>0</v>
          </cell>
          <cell r="O11">
            <v>0</v>
          </cell>
          <cell r="P11">
            <v>0</v>
          </cell>
          <cell r="R11" t="str">
            <v>FY13-Non-Labor Cost</v>
          </cell>
          <cell r="S11">
            <v>0</v>
          </cell>
          <cell r="T11">
            <v>0</v>
          </cell>
          <cell r="U11">
            <v>0</v>
          </cell>
          <cell r="V11">
            <v>0</v>
          </cell>
          <cell r="W11">
            <v>0</v>
          </cell>
          <cell r="X11">
            <v>0</v>
          </cell>
          <cell r="Y11">
            <v>0</v>
          </cell>
          <cell r="Z11">
            <v>0</v>
          </cell>
          <cell r="AA11">
            <v>0</v>
          </cell>
          <cell r="AB11">
            <v>0</v>
          </cell>
          <cell r="AC11">
            <v>0</v>
          </cell>
          <cell r="AD11">
            <v>0</v>
          </cell>
        </row>
        <row r="12">
          <cell r="B12" t="str">
            <v>FY13-Cash Labor Costs</v>
          </cell>
          <cell r="C12" t="str">
            <v>Cash Labor Costs</v>
          </cell>
          <cell r="D12">
            <v>0</v>
          </cell>
          <cell r="E12">
            <v>0</v>
          </cell>
          <cell r="F12">
            <v>0</v>
          </cell>
          <cell r="G12">
            <v>0</v>
          </cell>
          <cell r="H12">
            <v>0</v>
          </cell>
          <cell r="I12">
            <v>0</v>
          </cell>
          <cell r="J12">
            <v>0</v>
          </cell>
          <cell r="K12">
            <v>0</v>
          </cell>
          <cell r="L12">
            <v>0</v>
          </cell>
          <cell r="M12">
            <v>0</v>
          </cell>
          <cell r="N12">
            <v>0</v>
          </cell>
          <cell r="O12">
            <v>0</v>
          </cell>
          <cell r="P12">
            <v>0</v>
          </cell>
          <cell r="R12" t="str">
            <v>FY13-Cash Labor Costs</v>
          </cell>
          <cell r="S12">
            <v>0</v>
          </cell>
          <cell r="T12">
            <v>0</v>
          </cell>
          <cell r="U12">
            <v>0</v>
          </cell>
          <cell r="V12">
            <v>0</v>
          </cell>
          <cell r="W12">
            <v>0</v>
          </cell>
          <cell r="X12">
            <v>0</v>
          </cell>
          <cell r="Y12">
            <v>0</v>
          </cell>
          <cell r="Z12">
            <v>0</v>
          </cell>
          <cell r="AA12">
            <v>0</v>
          </cell>
          <cell r="AB12">
            <v>0</v>
          </cell>
          <cell r="AC12">
            <v>0</v>
          </cell>
          <cell r="AD12">
            <v>0</v>
          </cell>
        </row>
        <row r="13">
          <cell r="B13" t="str">
            <v>FY13-Non-Cash Labor Costs</v>
          </cell>
          <cell r="C13" t="str">
            <v>Non-Cash Labor Costs</v>
          </cell>
          <cell r="D13">
            <v>0</v>
          </cell>
          <cell r="E13">
            <v>0</v>
          </cell>
          <cell r="F13">
            <v>0</v>
          </cell>
          <cell r="G13">
            <v>0</v>
          </cell>
          <cell r="H13">
            <v>0</v>
          </cell>
          <cell r="I13">
            <v>0</v>
          </cell>
          <cell r="J13">
            <v>0</v>
          </cell>
          <cell r="K13">
            <v>0</v>
          </cell>
          <cell r="L13">
            <v>0</v>
          </cell>
          <cell r="M13">
            <v>0</v>
          </cell>
          <cell r="N13">
            <v>0</v>
          </cell>
          <cell r="O13">
            <v>0</v>
          </cell>
          <cell r="P13">
            <v>0</v>
          </cell>
          <cell r="R13" t="str">
            <v>FY13-Non-Cash Labor Costs</v>
          </cell>
          <cell r="S13">
            <v>0</v>
          </cell>
          <cell r="T13">
            <v>0</v>
          </cell>
          <cell r="U13">
            <v>0</v>
          </cell>
          <cell r="V13">
            <v>0</v>
          </cell>
          <cell r="W13">
            <v>0</v>
          </cell>
          <cell r="X13">
            <v>0</v>
          </cell>
          <cell r="Y13">
            <v>0</v>
          </cell>
          <cell r="Z13">
            <v>0</v>
          </cell>
          <cell r="AA13">
            <v>0</v>
          </cell>
          <cell r="AB13">
            <v>0</v>
          </cell>
          <cell r="AC13">
            <v>0</v>
          </cell>
          <cell r="AD13">
            <v>0</v>
          </cell>
        </row>
        <row r="14">
          <cell r="B14" t="str">
            <v>FY13-Cash Labor Hours</v>
          </cell>
          <cell r="C14" t="str">
            <v>Cash Labor Hours</v>
          </cell>
          <cell r="D14">
            <v>0</v>
          </cell>
          <cell r="E14">
            <v>0</v>
          </cell>
          <cell r="F14">
            <v>0</v>
          </cell>
          <cell r="G14">
            <v>0</v>
          </cell>
          <cell r="H14">
            <v>0</v>
          </cell>
          <cell r="I14">
            <v>0</v>
          </cell>
          <cell r="J14">
            <v>0</v>
          </cell>
          <cell r="K14">
            <v>0</v>
          </cell>
          <cell r="L14">
            <v>0</v>
          </cell>
          <cell r="M14">
            <v>0</v>
          </cell>
          <cell r="N14">
            <v>0</v>
          </cell>
          <cell r="O14">
            <v>0</v>
          </cell>
          <cell r="P14">
            <v>0</v>
          </cell>
          <cell r="R14" t="str">
            <v>FY13-Cash Labor Hours</v>
          </cell>
          <cell r="S14">
            <v>0</v>
          </cell>
          <cell r="T14">
            <v>0</v>
          </cell>
          <cell r="U14">
            <v>0</v>
          </cell>
          <cell r="V14">
            <v>0</v>
          </cell>
          <cell r="W14">
            <v>0</v>
          </cell>
          <cell r="X14">
            <v>0</v>
          </cell>
          <cell r="Y14">
            <v>0</v>
          </cell>
          <cell r="Z14">
            <v>0</v>
          </cell>
          <cell r="AA14">
            <v>0</v>
          </cell>
          <cell r="AB14">
            <v>0</v>
          </cell>
          <cell r="AC14">
            <v>0</v>
          </cell>
          <cell r="AD14">
            <v>0</v>
          </cell>
        </row>
        <row r="15">
          <cell r="B15" t="str">
            <v>FY13-Non-Cash Labor Hours</v>
          </cell>
          <cell r="C15" t="str">
            <v>Non-Cash Labor Hours</v>
          </cell>
          <cell r="D15">
            <v>0</v>
          </cell>
          <cell r="E15">
            <v>0</v>
          </cell>
          <cell r="F15">
            <v>0</v>
          </cell>
          <cell r="G15">
            <v>0</v>
          </cell>
          <cell r="H15">
            <v>0</v>
          </cell>
          <cell r="I15">
            <v>0</v>
          </cell>
          <cell r="J15">
            <v>0</v>
          </cell>
          <cell r="K15">
            <v>0</v>
          </cell>
          <cell r="L15">
            <v>0</v>
          </cell>
          <cell r="M15">
            <v>0</v>
          </cell>
          <cell r="N15">
            <v>0</v>
          </cell>
          <cell r="O15">
            <v>0</v>
          </cell>
          <cell r="P15">
            <v>0</v>
          </cell>
          <cell r="R15" t="str">
            <v>FY13-Non-Cash Labor Hours</v>
          </cell>
          <cell r="S15">
            <v>0</v>
          </cell>
          <cell r="T15">
            <v>0</v>
          </cell>
          <cell r="U15">
            <v>0</v>
          </cell>
          <cell r="V15">
            <v>0</v>
          </cell>
          <cell r="W15">
            <v>0</v>
          </cell>
          <cell r="X15">
            <v>0</v>
          </cell>
          <cell r="Y15">
            <v>0</v>
          </cell>
          <cell r="Z15">
            <v>0</v>
          </cell>
          <cell r="AA15">
            <v>0</v>
          </cell>
          <cell r="AB15">
            <v>0</v>
          </cell>
          <cell r="AC15">
            <v>0</v>
          </cell>
          <cell r="AD15">
            <v>0</v>
          </cell>
        </row>
        <row r="16">
          <cell r="B16" t="str">
            <v>FY13-Total Cost</v>
          </cell>
          <cell r="C16" t="str">
            <v>Total Cost</v>
          </cell>
          <cell r="D16">
            <v>0</v>
          </cell>
          <cell r="E16">
            <v>0</v>
          </cell>
          <cell r="F16">
            <v>0</v>
          </cell>
          <cell r="G16">
            <v>0</v>
          </cell>
          <cell r="H16">
            <v>0</v>
          </cell>
          <cell r="I16">
            <v>0</v>
          </cell>
          <cell r="J16">
            <v>0</v>
          </cell>
          <cell r="K16">
            <v>0</v>
          </cell>
          <cell r="L16">
            <v>0</v>
          </cell>
          <cell r="M16">
            <v>0</v>
          </cell>
          <cell r="N16">
            <v>0</v>
          </cell>
          <cell r="O16">
            <v>0</v>
          </cell>
          <cell r="P16">
            <v>0</v>
          </cell>
          <cell r="R16" t="str">
            <v>FY13-Total Cost</v>
          </cell>
          <cell r="S16">
            <v>0</v>
          </cell>
          <cell r="T16">
            <v>0</v>
          </cell>
          <cell r="U16">
            <v>0</v>
          </cell>
          <cell r="V16">
            <v>0</v>
          </cell>
          <cell r="W16">
            <v>0</v>
          </cell>
          <cell r="X16">
            <v>0</v>
          </cell>
          <cell r="Y16">
            <v>0</v>
          </cell>
          <cell r="Z16">
            <v>0</v>
          </cell>
          <cell r="AA16">
            <v>0</v>
          </cell>
          <cell r="AB16">
            <v>0</v>
          </cell>
          <cell r="AC16">
            <v>0</v>
          </cell>
          <cell r="AD16">
            <v>0</v>
          </cell>
        </row>
        <row r="17">
          <cell r="B17" t="str">
            <v>FY13-Total Hours</v>
          </cell>
          <cell r="C17" t="str">
            <v>Total Hours</v>
          </cell>
          <cell r="D17">
            <v>0</v>
          </cell>
          <cell r="E17">
            <v>0</v>
          </cell>
          <cell r="F17">
            <v>0</v>
          </cell>
          <cell r="G17">
            <v>0</v>
          </cell>
          <cell r="H17">
            <v>0</v>
          </cell>
          <cell r="I17">
            <v>0</v>
          </cell>
          <cell r="J17">
            <v>0</v>
          </cell>
          <cell r="K17">
            <v>0</v>
          </cell>
          <cell r="L17">
            <v>0</v>
          </cell>
          <cell r="M17">
            <v>0</v>
          </cell>
          <cell r="N17">
            <v>0</v>
          </cell>
          <cell r="O17">
            <v>0</v>
          </cell>
          <cell r="P17">
            <v>0</v>
          </cell>
          <cell r="R17" t="str">
            <v>FY13-Total Hours</v>
          </cell>
          <cell r="S17">
            <v>0</v>
          </cell>
          <cell r="T17">
            <v>0</v>
          </cell>
          <cell r="U17">
            <v>0</v>
          </cell>
          <cell r="V17">
            <v>0</v>
          </cell>
          <cell r="W17">
            <v>0</v>
          </cell>
          <cell r="X17">
            <v>0</v>
          </cell>
          <cell r="Y17">
            <v>0</v>
          </cell>
          <cell r="Z17">
            <v>0</v>
          </cell>
          <cell r="AA17">
            <v>0</v>
          </cell>
          <cell r="AB17">
            <v>0</v>
          </cell>
          <cell r="AC17">
            <v>0</v>
          </cell>
          <cell r="AD17">
            <v>0</v>
          </cell>
        </row>
        <row r="18">
          <cell r="B18" t="str">
            <v>FY14-Non-Labor Cost</v>
          </cell>
          <cell r="C18" t="str">
            <v>Non-Labor Cost</v>
          </cell>
          <cell r="D18">
            <v>0</v>
          </cell>
          <cell r="E18">
            <v>0</v>
          </cell>
          <cell r="F18">
            <v>0</v>
          </cell>
          <cell r="G18">
            <v>0</v>
          </cell>
          <cell r="H18">
            <v>0</v>
          </cell>
          <cell r="I18">
            <v>0</v>
          </cell>
          <cell r="J18">
            <v>0</v>
          </cell>
          <cell r="K18">
            <v>0</v>
          </cell>
          <cell r="L18">
            <v>0</v>
          </cell>
          <cell r="M18">
            <v>0</v>
          </cell>
          <cell r="N18">
            <v>0</v>
          </cell>
          <cell r="O18">
            <v>0</v>
          </cell>
          <cell r="P18">
            <v>0</v>
          </cell>
          <cell r="R18" t="str">
            <v>FY14-Non-Labor Cost</v>
          </cell>
          <cell r="S18">
            <v>0</v>
          </cell>
          <cell r="T18">
            <v>0</v>
          </cell>
          <cell r="U18">
            <v>0</v>
          </cell>
          <cell r="V18">
            <v>0</v>
          </cell>
          <cell r="W18">
            <v>0</v>
          </cell>
          <cell r="X18">
            <v>0</v>
          </cell>
          <cell r="Y18">
            <v>0</v>
          </cell>
          <cell r="Z18">
            <v>0</v>
          </cell>
          <cell r="AA18">
            <v>0</v>
          </cell>
          <cell r="AB18">
            <v>0</v>
          </cell>
          <cell r="AC18">
            <v>0</v>
          </cell>
          <cell r="AD18">
            <v>0</v>
          </cell>
        </row>
        <row r="19">
          <cell r="B19" t="str">
            <v>FY14-Cash Labor Costs</v>
          </cell>
          <cell r="C19" t="str">
            <v>Cash Labor Costs</v>
          </cell>
          <cell r="D19">
            <v>0</v>
          </cell>
          <cell r="E19">
            <v>0</v>
          </cell>
          <cell r="F19">
            <v>0</v>
          </cell>
          <cell r="G19">
            <v>0</v>
          </cell>
          <cell r="H19">
            <v>0</v>
          </cell>
          <cell r="I19">
            <v>0</v>
          </cell>
          <cell r="J19">
            <v>0</v>
          </cell>
          <cell r="K19">
            <v>0</v>
          </cell>
          <cell r="L19">
            <v>0</v>
          </cell>
          <cell r="M19">
            <v>0</v>
          </cell>
          <cell r="N19">
            <v>0</v>
          </cell>
          <cell r="O19">
            <v>0</v>
          </cell>
          <cell r="P19">
            <v>0</v>
          </cell>
          <cell r="R19" t="str">
            <v>FY14-Cash Labor Costs</v>
          </cell>
          <cell r="S19">
            <v>0</v>
          </cell>
          <cell r="T19">
            <v>0</v>
          </cell>
          <cell r="U19">
            <v>0</v>
          </cell>
          <cell r="V19">
            <v>0</v>
          </cell>
          <cell r="W19">
            <v>0</v>
          </cell>
          <cell r="X19">
            <v>0</v>
          </cell>
          <cell r="Y19">
            <v>0</v>
          </cell>
          <cell r="Z19">
            <v>0</v>
          </cell>
          <cell r="AA19">
            <v>0</v>
          </cell>
          <cell r="AB19">
            <v>0</v>
          </cell>
          <cell r="AC19">
            <v>0</v>
          </cell>
          <cell r="AD19">
            <v>0</v>
          </cell>
        </row>
        <row r="20">
          <cell r="B20" t="str">
            <v>FY14-Non-Cash Labor Costs</v>
          </cell>
          <cell r="C20" t="str">
            <v>Non-Cash Labor Costs</v>
          </cell>
          <cell r="D20">
            <v>0</v>
          </cell>
          <cell r="E20">
            <v>0</v>
          </cell>
          <cell r="F20">
            <v>0</v>
          </cell>
          <cell r="G20">
            <v>0</v>
          </cell>
          <cell r="H20">
            <v>0</v>
          </cell>
          <cell r="I20">
            <v>0</v>
          </cell>
          <cell r="J20">
            <v>0</v>
          </cell>
          <cell r="K20">
            <v>0</v>
          </cell>
          <cell r="L20">
            <v>0</v>
          </cell>
          <cell r="M20">
            <v>0</v>
          </cell>
          <cell r="N20">
            <v>0</v>
          </cell>
          <cell r="O20">
            <v>0</v>
          </cell>
          <cell r="P20">
            <v>0</v>
          </cell>
          <cell r="R20" t="str">
            <v>FY14-Non-Cash Labor Costs</v>
          </cell>
          <cell r="S20">
            <v>0</v>
          </cell>
          <cell r="T20">
            <v>0</v>
          </cell>
          <cell r="U20">
            <v>0</v>
          </cell>
          <cell r="V20">
            <v>0</v>
          </cell>
          <cell r="W20">
            <v>0</v>
          </cell>
          <cell r="X20">
            <v>0</v>
          </cell>
          <cell r="Y20">
            <v>0</v>
          </cell>
          <cell r="Z20">
            <v>0</v>
          </cell>
          <cell r="AA20">
            <v>0</v>
          </cell>
          <cell r="AB20">
            <v>0</v>
          </cell>
          <cell r="AC20">
            <v>0</v>
          </cell>
          <cell r="AD20">
            <v>0</v>
          </cell>
        </row>
        <row r="21">
          <cell r="B21" t="str">
            <v>FY14-Cash Labor Hours</v>
          </cell>
          <cell r="C21" t="str">
            <v>Cash Labor Hours</v>
          </cell>
          <cell r="D21">
            <v>0</v>
          </cell>
          <cell r="E21">
            <v>0</v>
          </cell>
          <cell r="F21">
            <v>0</v>
          </cell>
          <cell r="G21">
            <v>0</v>
          </cell>
          <cell r="H21">
            <v>0</v>
          </cell>
          <cell r="I21">
            <v>0</v>
          </cell>
          <cell r="J21">
            <v>0</v>
          </cell>
          <cell r="K21">
            <v>0</v>
          </cell>
          <cell r="L21">
            <v>0</v>
          </cell>
          <cell r="M21">
            <v>0</v>
          </cell>
          <cell r="N21">
            <v>0</v>
          </cell>
          <cell r="O21">
            <v>0</v>
          </cell>
          <cell r="P21">
            <v>0</v>
          </cell>
          <cell r="R21" t="str">
            <v>FY14-Cash Labor Hours</v>
          </cell>
          <cell r="S21">
            <v>0</v>
          </cell>
          <cell r="T21">
            <v>0</v>
          </cell>
          <cell r="U21">
            <v>0</v>
          </cell>
          <cell r="V21">
            <v>0</v>
          </cell>
          <cell r="W21">
            <v>0</v>
          </cell>
          <cell r="X21">
            <v>0</v>
          </cell>
          <cell r="Y21">
            <v>0</v>
          </cell>
          <cell r="Z21">
            <v>0</v>
          </cell>
          <cell r="AA21">
            <v>0</v>
          </cell>
          <cell r="AB21">
            <v>0</v>
          </cell>
          <cell r="AC21">
            <v>0</v>
          </cell>
          <cell r="AD21">
            <v>0</v>
          </cell>
        </row>
        <row r="22">
          <cell r="B22" t="str">
            <v>FY14-Non-Cash Labor Hours</v>
          </cell>
          <cell r="C22" t="str">
            <v>Non-Cash Labor Hours</v>
          </cell>
          <cell r="D22">
            <v>0</v>
          </cell>
          <cell r="E22">
            <v>0</v>
          </cell>
          <cell r="F22">
            <v>0</v>
          </cell>
          <cell r="G22">
            <v>0</v>
          </cell>
          <cell r="H22">
            <v>0</v>
          </cell>
          <cell r="I22">
            <v>0</v>
          </cell>
          <cell r="J22">
            <v>0</v>
          </cell>
          <cell r="K22">
            <v>0</v>
          </cell>
          <cell r="L22">
            <v>0</v>
          </cell>
          <cell r="M22">
            <v>0</v>
          </cell>
          <cell r="N22">
            <v>0</v>
          </cell>
          <cell r="O22">
            <v>0</v>
          </cell>
          <cell r="P22">
            <v>0</v>
          </cell>
          <cell r="R22" t="str">
            <v>FY14-Non-Cash Labor Hours</v>
          </cell>
          <cell r="S22">
            <v>0</v>
          </cell>
          <cell r="T22">
            <v>0</v>
          </cell>
          <cell r="U22">
            <v>0</v>
          </cell>
          <cell r="V22">
            <v>0</v>
          </cell>
          <cell r="W22">
            <v>0</v>
          </cell>
          <cell r="X22">
            <v>0</v>
          </cell>
          <cell r="Y22">
            <v>0</v>
          </cell>
          <cell r="Z22">
            <v>0</v>
          </cell>
          <cell r="AA22">
            <v>0</v>
          </cell>
          <cell r="AB22">
            <v>0</v>
          </cell>
          <cell r="AC22">
            <v>0</v>
          </cell>
          <cell r="AD22">
            <v>0</v>
          </cell>
        </row>
        <row r="23">
          <cell r="B23" t="str">
            <v>FY14-Total Cost</v>
          </cell>
          <cell r="C23" t="str">
            <v>Total Cost</v>
          </cell>
          <cell r="D23">
            <v>0</v>
          </cell>
          <cell r="E23">
            <v>0</v>
          </cell>
          <cell r="F23">
            <v>0</v>
          </cell>
          <cell r="G23">
            <v>0</v>
          </cell>
          <cell r="H23">
            <v>0</v>
          </cell>
          <cell r="I23">
            <v>0</v>
          </cell>
          <cell r="J23">
            <v>0</v>
          </cell>
          <cell r="K23">
            <v>0</v>
          </cell>
          <cell r="L23">
            <v>0</v>
          </cell>
          <cell r="M23">
            <v>0</v>
          </cell>
          <cell r="N23">
            <v>0</v>
          </cell>
          <cell r="O23">
            <v>0</v>
          </cell>
          <cell r="P23">
            <v>0</v>
          </cell>
          <cell r="R23" t="str">
            <v>FY14-Total Cost</v>
          </cell>
          <cell r="S23">
            <v>0</v>
          </cell>
          <cell r="T23">
            <v>0</v>
          </cell>
          <cell r="U23">
            <v>0</v>
          </cell>
          <cell r="V23">
            <v>0</v>
          </cell>
          <cell r="W23">
            <v>0</v>
          </cell>
          <cell r="X23">
            <v>0</v>
          </cell>
          <cell r="Y23">
            <v>0</v>
          </cell>
          <cell r="Z23">
            <v>0</v>
          </cell>
          <cell r="AA23">
            <v>0</v>
          </cell>
          <cell r="AB23">
            <v>0</v>
          </cell>
          <cell r="AC23">
            <v>0</v>
          </cell>
          <cell r="AD23">
            <v>0</v>
          </cell>
        </row>
        <row r="24">
          <cell r="B24" t="str">
            <v>FY14-Total Hours</v>
          </cell>
          <cell r="C24" t="str">
            <v>Total Hours</v>
          </cell>
          <cell r="D24">
            <v>0</v>
          </cell>
          <cell r="E24">
            <v>0</v>
          </cell>
          <cell r="F24">
            <v>0</v>
          </cell>
          <cell r="G24">
            <v>0</v>
          </cell>
          <cell r="H24">
            <v>0</v>
          </cell>
          <cell r="I24">
            <v>0</v>
          </cell>
          <cell r="J24">
            <v>0</v>
          </cell>
          <cell r="K24">
            <v>0</v>
          </cell>
          <cell r="L24">
            <v>0</v>
          </cell>
          <cell r="M24">
            <v>0</v>
          </cell>
          <cell r="N24">
            <v>0</v>
          </cell>
          <cell r="O24">
            <v>0</v>
          </cell>
          <cell r="P24">
            <v>0</v>
          </cell>
          <cell r="R24" t="str">
            <v>FY14-Total Hours</v>
          </cell>
          <cell r="S24">
            <v>0</v>
          </cell>
          <cell r="T24">
            <v>0</v>
          </cell>
          <cell r="U24">
            <v>0</v>
          </cell>
          <cell r="V24">
            <v>0</v>
          </cell>
          <cell r="W24">
            <v>0</v>
          </cell>
          <cell r="X24">
            <v>0</v>
          </cell>
          <cell r="Y24">
            <v>0</v>
          </cell>
          <cell r="Z24">
            <v>0</v>
          </cell>
          <cell r="AA24">
            <v>0</v>
          </cell>
          <cell r="AB24">
            <v>0</v>
          </cell>
          <cell r="AC24">
            <v>0</v>
          </cell>
          <cell r="AD24">
            <v>0</v>
          </cell>
        </row>
        <row r="26">
          <cell r="B26" t="str">
            <v>Total-Non-Labor Cost</v>
          </cell>
          <cell r="C26" t="str">
            <v>Non-Labor Cost</v>
          </cell>
          <cell r="D26">
            <v>0</v>
          </cell>
          <cell r="E26">
            <v>0</v>
          </cell>
          <cell r="F26">
            <v>0</v>
          </cell>
          <cell r="G26">
            <v>0</v>
          </cell>
          <cell r="H26">
            <v>0</v>
          </cell>
          <cell r="I26">
            <v>0</v>
          </cell>
          <cell r="J26">
            <v>44420</v>
          </cell>
          <cell r="K26">
            <v>0</v>
          </cell>
          <cell r="L26">
            <v>0</v>
          </cell>
          <cell r="M26">
            <v>44420</v>
          </cell>
          <cell r="N26">
            <v>0</v>
          </cell>
          <cell r="O26">
            <v>0</v>
          </cell>
          <cell r="P26">
            <v>88840</v>
          </cell>
        </row>
        <row r="27">
          <cell r="B27" t="str">
            <v>Total-Cash Labor Costs</v>
          </cell>
          <cell r="C27" t="str">
            <v>Cash Labor Costs</v>
          </cell>
          <cell r="D27">
            <v>16080</v>
          </cell>
          <cell r="E27">
            <v>22080</v>
          </cell>
          <cell r="F27">
            <v>19440</v>
          </cell>
          <cell r="G27">
            <v>20160</v>
          </cell>
          <cell r="H27">
            <v>17040</v>
          </cell>
          <cell r="I27">
            <v>32610</v>
          </cell>
          <cell r="J27">
            <v>41023.5</v>
          </cell>
          <cell r="K27">
            <v>51810</v>
          </cell>
          <cell r="L27">
            <v>56010</v>
          </cell>
          <cell r="M27">
            <v>52650</v>
          </cell>
          <cell r="N27">
            <v>64410</v>
          </cell>
          <cell r="O27">
            <v>62286.5</v>
          </cell>
          <cell r="P27">
            <v>455600</v>
          </cell>
        </row>
        <row r="28">
          <cell r="B28" t="str">
            <v>Total-Non-Cash Labor Costs</v>
          </cell>
          <cell r="C28" t="str">
            <v>Non-Cash Labor Costs</v>
          </cell>
          <cell r="D28">
            <v>0</v>
          </cell>
          <cell r="E28">
            <v>8000</v>
          </cell>
          <cell r="F28">
            <v>8000</v>
          </cell>
          <cell r="G28">
            <v>21540</v>
          </cell>
          <cell r="H28">
            <v>21060</v>
          </cell>
          <cell r="I28">
            <v>31412.799999999992</v>
          </cell>
          <cell r="J28">
            <v>92140.800000000003</v>
          </cell>
          <cell r="K28">
            <v>40460.000000000007</v>
          </cell>
          <cell r="L28">
            <v>56928.800000000032</v>
          </cell>
          <cell r="M28">
            <v>50701.60000000002</v>
          </cell>
          <cell r="N28">
            <v>39926.399999999994</v>
          </cell>
          <cell r="O28">
            <v>14469.599999999977</v>
          </cell>
          <cell r="P28">
            <v>384640</v>
          </cell>
        </row>
        <row r="29">
          <cell r="B29" t="str">
            <v>Total-Cash Labor Hours</v>
          </cell>
          <cell r="C29" t="str">
            <v>Cash Labor Hours</v>
          </cell>
          <cell r="D29">
            <v>134</v>
          </cell>
          <cell r="E29">
            <v>184</v>
          </cell>
          <cell r="F29">
            <v>162</v>
          </cell>
          <cell r="G29">
            <v>168</v>
          </cell>
          <cell r="H29">
            <v>142</v>
          </cell>
          <cell r="I29">
            <v>309</v>
          </cell>
          <cell r="J29">
            <v>389.15</v>
          </cell>
          <cell r="K29">
            <v>493</v>
          </cell>
          <cell r="L29">
            <v>533</v>
          </cell>
          <cell r="M29">
            <v>501</v>
          </cell>
          <cell r="N29">
            <v>613</v>
          </cell>
          <cell r="O29">
            <v>595.91999999999996</v>
          </cell>
          <cell r="P29">
            <v>4224</v>
          </cell>
        </row>
        <row r="30">
          <cell r="B30" t="str">
            <v>Total-Non-Cash Labor Hours</v>
          </cell>
          <cell r="C30" t="str">
            <v>Non-Cash Labor Hours</v>
          </cell>
          <cell r="D30">
            <v>0</v>
          </cell>
          <cell r="E30">
            <v>100</v>
          </cell>
          <cell r="F30">
            <v>100</v>
          </cell>
          <cell r="G30">
            <v>269.25</v>
          </cell>
          <cell r="H30">
            <v>263.25</v>
          </cell>
          <cell r="I30">
            <v>392.66000000000008</v>
          </cell>
          <cell r="J30">
            <v>1151.76</v>
          </cell>
          <cell r="K30">
            <v>505.75</v>
          </cell>
          <cell r="L30">
            <v>711.6099999999999</v>
          </cell>
          <cell r="M30">
            <v>633.77</v>
          </cell>
          <cell r="N30">
            <v>499.08000000000004</v>
          </cell>
          <cell r="O30">
            <v>180.57999999999996</v>
          </cell>
          <cell r="P30">
            <v>4808</v>
          </cell>
        </row>
        <row r="31">
          <cell r="B31" t="str">
            <v>Total-Total Cost</v>
          </cell>
          <cell r="C31" t="str">
            <v>Total Cost</v>
          </cell>
          <cell r="D31">
            <v>16080</v>
          </cell>
          <cell r="E31">
            <v>30080</v>
          </cell>
          <cell r="F31">
            <v>27440</v>
          </cell>
          <cell r="G31">
            <v>41700</v>
          </cell>
          <cell r="H31">
            <v>38100</v>
          </cell>
          <cell r="I31">
            <v>64022.799999999988</v>
          </cell>
          <cell r="J31">
            <v>177584.3</v>
          </cell>
          <cell r="K31">
            <v>92270</v>
          </cell>
          <cell r="L31">
            <v>112938.80000000003</v>
          </cell>
          <cell r="M31">
            <v>147771.60000000003</v>
          </cell>
          <cell r="N31">
            <v>104336.4</v>
          </cell>
          <cell r="O31">
            <v>76756.099999999977</v>
          </cell>
          <cell r="P31">
            <v>929080</v>
          </cell>
        </row>
        <row r="32">
          <cell r="B32" t="str">
            <v>Total-Total Hours</v>
          </cell>
          <cell r="C32" t="str">
            <v>Total Hours</v>
          </cell>
          <cell r="D32">
            <v>134</v>
          </cell>
          <cell r="E32">
            <v>284</v>
          </cell>
          <cell r="F32">
            <v>262</v>
          </cell>
          <cell r="G32">
            <v>437.25</v>
          </cell>
          <cell r="H32">
            <v>405.25</v>
          </cell>
          <cell r="I32">
            <v>701.66000000000008</v>
          </cell>
          <cell r="J32">
            <v>1540.9099999999999</v>
          </cell>
          <cell r="K32">
            <v>998.75</v>
          </cell>
          <cell r="L32">
            <v>1244.6099999999999</v>
          </cell>
          <cell r="M32">
            <v>1134.77</v>
          </cell>
          <cell r="N32">
            <v>1112.08</v>
          </cell>
          <cell r="O32">
            <v>776.49999999999989</v>
          </cell>
          <cell r="P32">
            <v>9032</v>
          </cell>
        </row>
        <row r="36">
          <cell r="B36" t="str">
            <v>FY12-Univ PBA</v>
          </cell>
          <cell r="C36" t="str">
            <v>Univ PBA</v>
          </cell>
          <cell r="D36">
            <v>0</v>
          </cell>
          <cell r="E36">
            <v>0</v>
          </cell>
          <cell r="F36">
            <v>0</v>
          </cell>
          <cell r="G36">
            <v>0</v>
          </cell>
          <cell r="H36">
            <v>0</v>
          </cell>
          <cell r="I36">
            <v>0</v>
          </cell>
          <cell r="J36">
            <v>0</v>
          </cell>
          <cell r="K36">
            <v>0</v>
          </cell>
          <cell r="L36">
            <v>0</v>
          </cell>
          <cell r="M36">
            <v>0</v>
          </cell>
          <cell r="N36">
            <v>0</v>
          </cell>
          <cell r="O36">
            <v>0</v>
          </cell>
          <cell r="P36">
            <v>0</v>
          </cell>
          <cell r="R36" t="str">
            <v>FY12-Univ PBA</v>
          </cell>
          <cell r="S36">
            <v>0</v>
          </cell>
          <cell r="T36">
            <v>0</v>
          </cell>
          <cell r="U36">
            <v>0</v>
          </cell>
          <cell r="V36">
            <v>0</v>
          </cell>
          <cell r="W36">
            <v>0</v>
          </cell>
          <cell r="X36">
            <v>0</v>
          </cell>
          <cell r="Y36">
            <v>0</v>
          </cell>
          <cell r="Z36">
            <v>0</v>
          </cell>
          <cell r="AA36">
            <v>0</v>
          </cell>
          <cell r="AB36">
            <v>0</v>
          </cell>
          <cell r="AC36">
            <v>0</v>
          </cell>
          <cell r="AD36">
            <v>0</v>
          </cell>
        </row>
        <row r="37">
          <cell r="B37" t="str">
            <v>FY12-Univ Cash</v>
          </cell>
          <cell r="C37" t="str">
            <v>Univ Cash</v>
          </cell>
          <cell r="D37">
            <v>16080</v>
          </cell>
          <cell r="E37">
            <v>22080</v>
          </cell>
          <cell r="F37">
            <v>19440</v>
          </cell>
          <cell r="G37">
            <v>20160</v>
          </cell>
          <cell r="H37">
            <v>17040</v>
          </cell>
          <cell r="I37">
            <v>32610</v>
          </cell>
          <cell r="J37">
            <v>85443.5</v>
          </cell>
          <cell r="K37">
            <v>51810</v>
          </cell>
          <cell r="L37">
            <v>56010</v>
          </cell>
          <cell r="M37">
            <v>97070</v>
          </cell>
          <cell r="N37">
            <v>64410</v>
          </cell>
          <cell r="O37">
            <v>62286.5</v>
          </cell>
          <cell r="P37">
            <v>544440</v>
          </cell>
          <cell r="R37" t="str">
            <v>FY12-Univ Cash</v>
          </cell>
          <cell r="S37">
            <v>16080</v>
          </cell>
          <cell r="T37">
            <v>38160</v>
          </cell>
          <cell r="U37">
            <v>57600</v>
          </cell>
          <cell r="V37">
            <v>77760</v>
          </cell>
          <cell r="W37">
            <v>94800</v>
          </cell>
          <cell r="X37">
            <v>127410</v>
          </cell>
          <cell r="Y37">
            <v>212853.5</v>
          </cell>
          <cell r="Z37">
            <v>264663.5</v>
          </cell>
          <cell r="AA37">
            <v>320673.5</v>
          </cell>
          <cell r="AB37">
            <v>417743.5</v>
          </cell>
          <cell r="AC37">
            <v>482153.5</v>
          </cell>
          <cell r="AD37">
            <v>544440</v>
          </cell>
        </row>
        <row r="38">
          <cell r="B38" t="str">
            <v>FY12-CIO PBA</v>
          </cell>
          <cell r="C38" t="str">
            <v>CIO PBA</v>
          </cell>
          <cell r="D38">
            <v>0</v>
          </cell>
          <cell r="E38">
            <v>0</v>
          </cell>
          <cell r="F38">
            <v>0</v>
          </cell>
          <cell r="G38">
            <v>0</v>
          </cell>
          <cell r="H38">
            <v>0</v>
          </cell>
          <cell r="I38">
            <v>0</v>
          </cell>
          <cell r="J38">
            <v>0</v>
          </cell>
          <cell r="K38">
            <v>0</v>
          </cell>
          <cell r="L38">
            <v>0</v>
          </cell>
          <cell r="M38">
            <v>0</v>
          </cell>
          <cell r="N38">
            <v>0</v>
          </cell>
          <cell r="O38">
            <v>0</v>
          </cell>
          <cell r="P38">
            <v>0</v>
          </cell>
          <cell r="R38" t="str">
            <v>FY12-CIO PBA</v>
          </cell>
          <cell r="S38">
            <v>0</v>
          </cell>
          <cell r="T38">
            <v>0</v>
          </cell>
          <cell r="U38">
            <v>0</v>
          </cell>
          <cell r="V38">
            <v>0</v>
          </cell>
          <cell r="W38">
            <v>0</v>
          </cell>
          <cell r="X38">
            <v>0</v>
          </cell>
          <cell r="Y38">
            <v>0</v>
          </cell>
          <cell r="Z38">
            <v>0</v>
          </cell>
          <cell r="AA38">
            <v>0</v>
          </cell>
          <cell r="AB38">
            <v>0</v>
          </cell>
          <cell r="AC38">
            <v>0</v>
          </cell>
          <cell r="AD38">
            <v>0</v>
          </cell>
        </row>
        <row r="39">
          <cell r="B39" t="str">
            <v>FY12-CIO Cash</v>
          </cell>
          <cell r="C39" t="str">
            <v>CIO Cash</v>
          </cell>
          <cell r="D39">
            <v>0</v>
          </cell>
          <cell r="E39">
            <v>0</v>
          </cell>
          <cell r="F39">
            <v>0</v>
          </cell>
          <cell r="G39">
            <v>0</v>
          </cell>
          <cell r="H39">
            <v>0</v>
          </cell>
          <cell r="I39">
            <v>0</v>
          </cell>
          <cell r="J39">
            <v>0</v>
          </cell>
          <cell r="K39">
            <v>0</v>
          </cell>
          <cell r="L39">
            <v>0</v>
          </cell>
          <cell r="M39">
            <v>0</v>
          </cell>
          <cell r="N39">
            <v>0</v>
          </cell>
          <cell r="O39">
            <v>0</v>
          </cell>
          <cell r="P39">
            <v>0</v>
          </cell>
          <cell r="R39" t="str">
            <v>FY12-CIO Cash</v>
          </cell>
          <cell r="S39">
            <v>0</v>
          </cell>
          <cell r="T39">
            <v>0</v>
          </cell>
          <cell r="U39">
            <v>0</v>
          </cell>
          <cell r="V39">
            <v>0</v>
          </cell>
          <cell r="W39">
            <v>0</v>
          </cell>
          <cell r="X39">
            <v>0</v>
          </cell>
          <cell r="Y39">
            <v>0</v>
          </cell>
          <cell r="Z39">
            <v>0</v>
          </cell>
          <cell r="AA39">
            <v>0</v>
          </cell>
          <cell r="AB39">
            <v>0</v>
          </cell>
          <cell r="AC39">
            <v>0</v>
          </cell>
          <cell r="AD39">
            <v>0</v>
          </cell>
        </row>
        <row r="40">
          <cell r="B40" t="str">
            <v>FY12-Other Cash</v>
          </cell>
          <cell r="C40" t="str">
            <v>Other Cash</v>
          </cell>
          <cell r="D40">
            <v>0</v>
          </cell>
          <cell r="E40">
            <v>0</v>
          </cell>
          <cell r="F40">
            <v>0</v>
          </cell>
          <cell r="G40">
            <v>0</v>
          </cell>
          <cell r="H40">
            <v>0</v>
          </cell>
          <cell r="I40">
            <v>0</v>
          </cell>
          <cell r="J40">
            <v>0</v>
          </cell>
          <cell r="K40">
            <v>0</v>
          </cell>
          <cell r="L40">
            <v>0</v>
          </cell>
          <cell r="M40">
            <v>0</v>
          </cell>
          <cell r="N40">
            <v>0</v>
          </cell>
          <cell r="O40">
            <v>0</v>
          </cell>
          <cell r="P40">
            <v>0</v>
          </cell>
          <cell r="R40" t="str">
            <v>FY12-Other Cash</v>
          </cell>
          <cell r="S40">
            <v>0</v>
          </cell>
          <cell r="T40">
            <v>0</v>
          </cell>
          <cell r="U40">
            <v>0</v>
          </cell>
          <cell r="V40">
            <v>0</v>
          </cell>
          <cell r="W40">
            <v>0</v>
          </cell>
          <cell r="X40">
            <v>0</v>
          </cell>
          <cell r="Y40">
            <v>0</v>
          </cell>
          <cell r="Z40">
            <v>0</v>
          </cell>
          <cell r="AA40">
            <v>0</v>
          </cell>
          <cell r="AB40">
            <v>0</v>
          </cell>
          <cell r="AC40">
            <v>0</v>
          </cell>
          <cell r="AD40">
            <v>0</v>
          </cell>
        </row>
        <row r="41">
          <cell r="B41" t="str">
            <v>FY12-Donated Resources</v>
          </cell>
          <cell r="C41" t="str">
            <v>Donated Resources</v>
          </cell>
          <cell r="D41">
            <v>0</v>
          </cell>
          <cell r="E41">
            <v>8000</v>
          </cell>
          <cell r="F41">
            <v>8000</v>
          </cell>
          <cell r="G41">
            <v>21540</v>
          </cell>
          <cell r="H41">
            <v>21060</v>
          </cell>
          <cell r="I41">
            <v>31412.799999999992</v>
          </cell>
          <cell r="J41">
            <v>92140.800000000003</v>
          </cell>
          <cell r="K41">
            <v>40460.000000000007</v>
          </cell>
          <cell r="L41">
            <v>56928.800000000032</v>
          </cell>
          <cell r="M41">
            <v>50701.60000000002</v>
          </cell>
          <cell r="N41">
            <v>39926.399999999994</v>
          </cell>
          <cell r="O41">
            <v>14469.599999999977</v>
          </cell>
          <cell r="P41">
            <v>384640</v>
          </cell>
          <cell r="R41" t="str">
            <v>FY12-Donated Resources</v>
          </cell>
          <cell r="S41">
            <v>0</v>
          </cell>
          <cell r="T41">
            <v>8000</v>
          </cell>
          <cell r="U41">
            <v>16000</v>
          </cell>
          <cell r="V41">
            <v>37540</v>
          </cell>
          <cell r="W41">
            <v>58600</v>
          </cell>
          <cell r="X41">
            <v>90012.799999999988</v>
          </cell>
          <cell r="Y41">
            <v>182153.59999999998</v>
          </cell>
          <cell r="Z41">
            <v>222613.59999999998</v>
          </cell>
          <cell r="AA41">
            <v>279542.40000000002</v>
          </cell>
          <cell r="AB41">
            <v>330244.00000000006</v>
          </cell>
          <cell r="AC41">
            <v>370170.4</v>
          </cell>
          <cell r="AD41">
            <v>384640</v>
          </cell>
        </row>
        <row r="42">
          <cell r="B42" t="str">
            <v>FY12-Other non-Cash</v>
          </cell>
          <cell r="C42" t="str">
            <v>Other non-Cash</v>
          </cell>
          <cell r="D42">
            <v>0</v>
          </cell>
          <cell r="E42">
            <v>0</v>
          </cell>
          <cell r="F42">
            <v>0</v>
          </cell>
          <cell r="G42">
            <v>0</v>
          </cell>
          <cell r="H42">
            <v>0</v>
          </cell>
          <cell r="I42">
            <v>0</v>
          </cell>
          <cell r="J42">
            <v>0</v>
          </cell>
          <cell r="K42">
            <v>0</v>
          </cell>
          <cell r="L42">
            <v>0</v>
          </cell>
          <cell r="M42">
            <v>0</v>
          </cell>
          <cell r="N42">
            <v>0</v>
          </cell>
          <cell r="O42">
            <v>0</v>
          </cell>
          <cell r="P42">
            <v>0</v>
          </cell>
          <cell r="R42" t="str">
            <v>FY12-Other non-Cash</v>
          </cell>
          <cell r="S42">
            <v>0</v>
          </cell>
          <cell r="T42">
            <v>0</v>
          </cell>
          <cell r="U42">
            <v>0</v>
          </cell>
          <cell r="V42">
            <v>0</v>
          </cell>
          <cell r="W42">
            <v>0</v>
          </cell>
          <cell r="X42">
            <v>0</v>
          </cell>
          <cell r="Y42">
            <v>0</v>
          </cell>
          <cell r="Z42">
            <v>0</v>
          </cell>
          <cell r="AA42">
            <v>0</v>
          </cell>
          <cell r="AB42">
            <v>0</v>
          </cell>
          <cell r="AC42">
            <v>0</v>
          </cell>
          <cell r="AD42">
            <v>0</v>
          </cell>
        </row>
        <row r="43">
          <cell r="B43" t="str">
            <v>FY12-Total Cash-Based</v>
          </cell>
          <cell r="C43" t="str">
            <v>Total Cash-Based</v>
          </cell>
          <cell r="D43">
            <v>16080</v>
          </cell>
          <cell r="E43">
            <v>22080</v>
          </cell>
          <cell r="F43">
            <v>19440</v>
          </cell>
          <cell r="G43">
            <v>20160</v>
          </cell>
          <cell r="H43">
            <v>17040</v>
          </cell>
          <cell r="I43">
            <v>32610</v>
          </cell>
          <cell r="J43">
            <v>85443.5</v>
          </cell>
          <cell r="K43">
            <v>51810</v>
          </cell>
          <cell r="L43">
            <v>56010</v>
          </cell>
          <cell r="M43">
            <v>97070</v>
          </cell>
          <cell r="N43">
            <v>64410</v>
          </cell>
          <cell r="O43">
            <v>62286.5</v>
          </cell>
          <cell r="P43">
            <v>544440</v>
          </cell>
          <cell r="R43" t="str">
            <v>FY12-Total Cash-Based</v>
          </cell>
          <cell r="S43">
            <v>16080</v>
          </cell>
          <cell r="T43">
            <v>38160</v>
          </cell>
          <cell r="U43">
            <v>57600</v>
          </cell>
          <cell r="V43">
            <v>77760</v>
          </cell>
          <cell r="W43">
            <v>94800</v>
          </cell>
          <cell r="X43">
            <v>127410</v>
          </cell>
          <cell r="Y43">
            <v>212853.5</v>
          </cell>
          <cell r="Z43">
            <v>264663.5</v>
          </cell>
          <cell r="AA43">
            <v>320673.5</v>
          </cell>
          <cell r="AB43">
            <v>417743.5</v>
          </cell>
          <cell r="AC43">
            <v>482153.5</v>
          </cell>
          <cell r="AD43">
            <v>544440</v>
          </cell>
        </row>
        <row r="44">
          <cell r="B44" t="str">
            <v>FY12-Total non-Cash Based</v>
          </cell>
          <cell r="C44" t="str">
            <v>Total non-Cash Based</v>
          </cell>
          <cell r="D44">
            <v>0</v>
          </cell>
          <cell r="E44">
            <v>8000</v>
          </cell>
          <cell r="F44">
            <v>8000</v>
          </cell>
          <cell r="G44">
            <v>21540</v>
          </cell>
          <cell r="H44">
            <v>21060</v>
          </cell>
          <cell r="I44">
            <v>31412.799999999992</v>
          </cell>
          <cell r="J44">
            <v>92140.800000000003</v>
          </cell>
          <cell r="K44">
            <v>40460.000000000007</v>
          </cell>
          <cell r="L44">
            <v>56928.800000000032</v>
          </cell>
          <cell r="M44">
            <v>50701.60000000002</v>
          </cell>
          <cell r="N44">
            <v>39926.399999999994</v>
          </cell>
          <cell r="O44">
            <v>14469.599999999977</v>
          </cell>
          <cell r="P44">
            <v>384640</v>
          </cell>
          <cell r="R44" t="str">
            <v>FY12-Total non-Cash Based</v>
          </cell>
          <cell r="S44">
            <v>0</v>
          </cell>
          <cell r="T44">
            <v>8000</v>
          </cell>
          <cell r="U44">
            <v>16000</v>
          </cell>
          <cell r="V44">
            <v>37540</v>
          </cell>
          <cell r="W44">
            <v>58600</v>
          </cell>
          <cell r="X44">
            <v>90012.799999999988</v>
          </cell>
          <cell r="Y44">
            <v>182153.59999999998</v>
          </cell>
          <cell r="Z44">
            <v>222613.59999999998</v>
          </cell>
          <cell r="AA44">
            <v>279542.40000000002</v>
          </cell>
          <cell r="AB44">
            <v>330244.00000000006</v>
          </cell>
          <cell r="AC44">
            <v>370170.4</v>
          </cell>
          <cell r="AD44">
            <v>384640</v>
          </cell>
        </row>
        <row r="45">
          <cell r="B45" t="str">
            <v>FY12-Grand total</v>
          </cell>
          <cell r="C45" t="str">
            <v>Grand total</v>
          </cell>
          <cell r="D45">
            <v>16080</v>
          </cell>
          <cell r="E45">
            <v>30080</v>
          </cell>
          <cell r="F45">
            <v>27440</v>
          </cell>
          <cell r="G45">
            <v>41700</v>
          </cell>
          <cell r="H45">
            <v>38100</v>
          </cell>
          <cell r="I45">
            <v>64022.799999999988</v>
          </cell>
          <cell r="J45">
            <v>177584.3</v>
          </cell>
          <cell r="K45">
            <v>92270</v>
          </cell>
          <cell r="L45">
            <v>112938.80000000003</v>
          </cell>
          <cell r="M45">
            <v>147771.60000000003</v>
          </cell>
          <cell r="N45">
            <v>104336.4</v>
          </cell>
          <cell r="O45">
            <v>76756.099999999977</v>
          </cell>
          <cell r="P45">
            <v>929080</v>
          </cell>
          <cell r="R45" t="str">
            <v>FY12-Grand total</v>
          </cell>
          <cell r="S45">
            <v>16080</v>
          </cell>
          <cell r="T45">
            <v>46160</v>
          </cell>
          <cell r="U45">
            <v>73600</v>
          </cell>
          <cell r="V45">
            <v>115300</v>
          </cell>
          <cell r="W45">
            <v>153400</v>
          </cell>
          <cell r="X45">
            <v>217422.8</v>
          </cell>
          <cell r="Y45">
            <v>395007.1</v>
          </cell>
          <cell r="Z45">
            <v>487277.1</v>
          </cell>
          <cell r="AA45">
            <v>600215.9</v>
          </cell>
          <cell r="AB45">
            <v>747987.5</v>
          </cell>
          <cell r="AC45">
            <v>852323.9</v>
          </cell>
          <cell r="AD45">
            <v>929080</v>
          </cell>
        </row>
        <row r="46">
          <cell r="B46" t="str">
            <v>FY13-Univ PBA</v>
          </cell>
          <cell r="C46" t="str">
            <v>Univ PBA</v>
          </cell>
          <cell r="D46">
            <v>0</v>
          </cell>
          <cell r="E46">
            <v>0</v>
          </cell>
          <cell r="F46">
            <v>0</v>
          </cell>
          <cell r="G46">
            <v>0</v>
          </cell>
          <cell r="H46">
            <v>0</v>
          </cell>
          <cell r="I46">
            <v>0</v>
          </cell>
          <cell r="J46">
            <v>0</v>
          </cell>
          <cell r="K46">
            <v>0</v>
          </cell>
          <cell r="L46">
            <v>0</v>
          </cell>
          <cell r="M46">
            <v>0</v>
          </cell>
          <cell r="N46">
            <v>0</v>
          </cell>
          <cell r="O46">
            <v>0</v>
          </cell>
          <cell r="P46">
            <v>0</v>
          </cell>
          <cell r="R46" t="str">
            <v>FY13-Univ PBA</v>
          </cell>
          <cell r="S46">
            <v>0</v>
          </cell>
          <cell r="T46">
            <v>0</v>
          </cell>
          <cell r="U46">
            <v>0</v>
          </cell>
          <cell r="V46">
            <v>0</v>
          </cell>
          <cell r="W46">
            <v>0</v>
          </cell>
          <cell r="X46">
            <v>0</v>
          </cell>
          <cell r="Y46">
            <v>0</v>
          </cell>
          <cell r="Z46">
            <v>0</v>
          </cell>
          <cell r="AA46">
            <v>0</v>
          </cell>
          <cell r="AB46">
            <v>0</v>
          </cell>
          <cell r="AC46">
            <v>0</v>
          </cell>
          <cell r="AD46">
            <v>0</v>
          </cell>
        </row>
        <row r="47">
          <cell r="B47" t="str">
            <v>FY13-Univ Cash</v>
          </cell>
          <cell r="C47" t="str">
            <v>Univ Cash</v>
          </cell>
          <cell r="D47">
            <v>0</v>
          </cell>
          <cell r="E47">
            <v>0</v>
          </cell>
          <cell r="F47">
            <v>0</v>
          </cell>
          <cell r="G47">
            <v>0</v>
          </cell>
          <cell r="H47">
            <v>0</v>
          </cell>
          <cell r="I47">
            <v>0</v>
          </cell>
          <cell r="J47">
            <v>0</v>
          </cell>
          <cell r="K47">
            <v>0</v>
          </cell>
          <cell r="L47">
            <v>0</v>
          </cell>
          <cell r="M47">
            <v>0</v>
          </cell>
          <cell r="N47">
            <v>0</v>
          </cell>
          <cell r="O47">
            <v>0</v>
          </cell>
          <cell r="P47">
            <v>0</v>
          </cell>
          <cell r="R47" t="str">
            <v>FY13-Univ Cash</v>
          </cell>
          <cell r="S47">
            <v>0</v>
          </cell>
          <cell r="T47">
            <v>0</v>
          </cell>
          <cell r="U47">
            <v>0</v>
          </cell>
          <cell r="V47">
            <v>0</v>
          </cell>
          <cell r="W47">
            <v>0</v>
          </cell>
          <cell r="X47">
            <v>0</v>
          </cell>
          <cell r="Y47">
            <v>0</v>
          </cell>
          <cell r="Z47">
            <v>0</v>
          </cell>
          <cell r="AA47">
            <v>0</v>
          </cell>
          <cell r="AB47">
            <v>0</v>
          </cell>
          <cell r="AC47">
            <v>0</v>
          </cell>
          <cell r="AD47">
            <v>0</v>
          </cell>
        </row>
        <row r="48">
          <cell r="B48" t="str">
            <v>FY13-CIO PBA</v>
          </cell>
          <cell r="C48" t="str">
            <v>CIO PBA</v>
          </cell>
          <cell r="D48">
            <v>0</v>
          </cell>
          <cell r="E48">
            <v>0</v>
          </cell>
          <cell r="F48">
            <v>0</v>
          </cell>
          <cell r="G48">
            <v>0</v>
          </cell>
          <cell r="H48">
            <v>0</v>
          </cell>
          <cell r="I48">
            <v>0</v>
          </cell>
          <cell r="J48">
            <v>0</v>
          </cell>
          <cell r="K48">
            <v>0</v>
          </cell>
          <cell r="L48">
            <v>0</v>
          </cell>
          <cell r="M48">
            <v>0</v>
          </cell>
          <cell r="N48">
            <v>0</v>
          </cell>
          <cell r="O48">
            <v>0</v>
          </cell>
          <cell r="P48">
            <v>0</v>
          </cell>
          <cell r="R48" t="str">
            <v>FY13-CIO PBA</v>
          </cell>
          <cell r="S48">
            <v>0</v>
          </cell>
          <cell r="T48">
            <v>0</v>
          </cell>
          <cell r="U48">
            <v>0</v>
          </cell>
          <cell r="V48">
            <v>0</v>
          </cell>
          <cell r="W48">
            <v>0</v>
          </cell>
          <cell r="X48">
            <v>0</v>
          </cell>
          <cell r="Y48">
            <v>0</v>
          </cell>
          <cell r="Z48">
            <v>0</v>
          </cell>
          <cell r="AA48">
            <v>0</v>
          </cell>
          <cell r="AB48">
            <v>0</v>
          </cell>
          <cell r="AC48">
            <v>0</v>
          </cell>
          <cell r="AD48">
            <v>0</v>
          </cell>
        </row>
        <row r="49">
          <cell r="B49" t="str">
            <v>FY13-CIO Cash</v>
          </cell>
          <cell r="C49" t="str">
            <v>CIO Cash</v>
          </cell>
          <cell r="D49">
            <v>0</v>
          </cell>
          <cell r="E49">
            <v>0</v>
          </cell>
          <cell r="F49">
            <v>0</v>
          </cell>
          <cell r="G49">
            <v>0</v>
          </cell>
          <cell r="H49">
            <v>0</v>
          </cell>
          <cell r="I49">
            <v>0</v>
          </cell>
          <cell r="J49">
            <v>0</v>
          </cell>
          <cell r="K49">
            <v>0</v>
          </cell>
          <cell r="L49">
            <v>0</v>
          </cell>
          <cell r="M49">
            <v>0</v>
          </cell>
          <cell r="N49">
            <v>0</v>
          </cell>
          <cell r="O49">
            <v>0</v>
          </cell>
          <cell r="P49">
            <v>0</v>
          </cell>
          <cell r="R49" t="str">
            <v>FY13-CIO Cash</v>
          </cell>
          <cell r="S49">
            <v>0</v>
          </cell>
          <cell r="T49">
            <v>0</v>
          </cell>
          <cell r="U49">
            <v>0</v>
          </cell>
          <cell r="V49">
            <v>0</v>
          </cell>
          <cell r="W49">
            <v>0</v>
          </cell>
          <cell r="X49">
            <v>0</v>
          </cell>
          <cell r="Y49">
            <v>0</v>
          </cell>
          <cell r="Z49">
            <v>0</v>
          </cell>
          <cell r="AA49">
            <v>0</v>
          </cell>
          <cell r="AB49">
            <v>0</v>
          </cell>
          <cell r="AC49">
            <v>0</v>
          </cell>
          <cell r="AD49">
            <v>0</v>
          </cell>
        </row>
        <row r="50">
          <cell r="B50" t="str">
            <v>FY13-Other Cash</v>
          </cell>
          <cell r="C50" t="str">
            <v>Other Cash</v>
          </cell>
          <cell r="D50">
            <v>0</v>
          </cell>
          <cell r="E50">
            <v>0</v>
          </cell>
          <cell r="F50">
            <v>0</v>
          </cell>
          <cell r="G50">
            <v>0</v>
          </cell>
          <cell r="H50">
            <v>0</v>
          </cell>
          <cell r="I50">
            <v>0</v>
          </cell>
          <cell r="J50">
            <v>0</v>
          </cell>
          <cell r="K50">
            <v>0</v>
          </cell>
          <cell r="L50">
            <v>0</v>
          </cell>
          <cell r="M50">
            <v>0</v>
          </cell>
          <cell r="N50">
            <v>0</v>
          </cell>
          <cell r="O50">
            <v>0</v>
          </cell>
          <cell r="P50">
            <v>0</v>
          </cell>
          <cell r="R50" t="str">
            <v>FY13-Other Cash</v>
          </cell>
          <cell r="S50">
            <v>0</v>
          </cell>
          <cell r="T50">
            <v>0</v>
          </cell>
          <cell r="U50">
            <v>0</v>
          </cell>
          <cell r="V50">
            <v>0</v>
          </cell>
          <cell r="W50">
            <v>0</v>
          </cell>
          <cell r="X50">
            <v>0</v>
          </cell>
          <cell r="Y50">
            <v>0</v>
          </cell>
          <cell r="Z50">
            <v>0</v>
          </cell>
          <cell r="AA50">
            <v>0</v>
          </cell>
          <cell r="AB50">
            <v>0</v>
          </cell>
          <cell r="AC50">
            <v>0</v>
          </cell>
          <cell r="AD50">
            <v>0</v>
          </cell>
        </row>
        <row r="51">
          <cell r="B51" t="str">
            <v>FY13-Donated Resources</v>
          </cell>
          <cell r="C51" t="str">
            <v>Donated Resources</v>
          </cell>
          <cell r="D51">
            <v>0</v>
          </cell>
          <cell r="E51">
            <v>0</v>
          </cell>
          <cell r="F51">
            <v>0</v>
          </cell>
          <cell r="G51">
            <v>0</v>
          </cell>
          <cell r="H51">
            <v>0</v>
          </cell>
          <cell r="I51">
            <v>0</v>
          </cell>
          <cell r="J51">
            <v>0</v>
          </cell>
          <cell r="K51">
            <v>0</v>
          </cell>
          <cell r="L51">
            <v>0</v>
          </cell>
          <cell r="M51">
            <v>0</v>
          </cell>
          <cell r="N51">
            <v>0</v>
          </cell>
          <cell r="O51">
            <v>0</v>
          </cell>
          <cell r="P51">
            <v>0</v>
          </cell>
          <cell r="R51" t="str">
            <v>FY13-Donated Resources</v>
          </cell>
          <cell r="S51">
            <v>0</v>
          </cell>
          <cell r="T51">
            <v>0</v>
          </cell>
          <cell r="U51">
            <v>0</v>
          </cell>
          <cell r="V51">
            <v>0</v>
          </cell>
          <cell r="W51">
            <v>0</v>
          </cell>
          <cell r="X51">
            <v>0</v>
          </cell>
          <cell r="Y51">
            <v>0</v>
          </cell>
          <cell r="Z51">
            <v>0</v>
          </cell>
          <cell r="AA51">
            <v>0</v>
          </cell>
          <cell r="AB51">
            <v>0</v>
          </cell>
          <cell r="AC51">
            <v>0</v>
          </cell>
          <cell r="AD51">
            <v>0</v>
          </cell>
        </row>
        <row r="52">
          <cell r="B52" t="str">
            <v>FY13-Other non-Cash</v>
          </cell>
          <cell r="C52" t="str">
            <v>Other non-Cash</v>
          </cell>
          <cell r="D52">
            <v>0</v>
          </cell>
          <cell r="E52">
            <v>0</v>
          </cell>
          <cell r="F52">
            <v>0</v>
          </cell>
          <cell r="G52">
            <v>0</v>
          </cell>
          <cell r="H52">
            <v>0</v>
          </cell>
          <cell r="I52">
            <v>0</v>
          </cell>
          <cell r="J52">
            <v>0</v>
          </cell>
          <cell r="K52">
            <v>0</v>
          </cell>
          <cell r="L52">
            <v>0</v>
          </cell>
          <cell r="M52">
            <v>0</v>
          </cell>
          <cell r="N52">
            <v>0</v>
          </cell>
          <cell r="O52">
            <v>0</v>
          </cell>
          <cell r="P52">
            <v>0</v>
          </cell>
          <cell r="R52" t="str">
            <v>FY13-Other non-Cash</v>
          </cell>
          <cell r="S52">
            <v>0</v>
          </cell>
          <cell r="T52">
            <v>0</v>
          </cell>
          <cell r="U52">
            <v>0</v>
          </cell>
          <cell r="V52">
            <v>0</v>
          </cell>
          <cell r="W52">
            <v>0</v>
          </cell>
          <cell r="X52">
            <v>0</v>
          </cell>
          <cell r="Y52">
            <v>0</v>
          </cell>
          <cell r="Z52">
            <v>0</v>
          </cell>
          <cell r="AA52">
            <v>0</v>
          </cell>
          <cell r="AB52">
            <v>0</v>
          </cell>
          <cell r="AC52">
            <v>0</v>
          </cell>
          <cell r="AD52">
            <v>0</v>
          </cell>
        </row>
        <row r="53">
          <cell r="B53" t="str">
            <v>FY13-Total Cash-Based</v>
          </cell>
          <cell r="C53" t="str">
            <v>Total Cash-Based</v>
          </cell>
          <cell r="D53">
            <v>0</v>
          </cell>
          <cell r="E53">
            <v>0</v>
          </cell>
          <cell r="F53">
            <v>0</v>
          </cell>
          <cell r="G53">
            <v>0</v>
          </cell>
          <cell r="H53">
            <v>0</v>
          </cell>
          <cell r="I53">
            <v>0</v>
          </cell>
          <cell r="J53">
            <v>0</v>
          </cell>
          <cell r="K53">
            <v>0</v>
          </cell>
          <cell r="L53">
            <v>0</v>
          </cell>
          <cell r="M53">
            <v>0</v>
          </cell>
          <cell r="N53">
            <v>0</v>
          </cell>
          <cell r="O53">
            <v>0</v>
          </cell>
          <cell r="P53">
            <v>0</v>
          </cell>
          <cell r="R53" t="str">
            <v>FY13-Total Cash-Based</v>
          </cell>
          <cell r="S53">
            <v>0</v>
          </cell>
          <cell r="T53">
            <v>0</v>
          </cell>
          <cell r="U53">
            <v>0</v>
          </cell>
          <cell r="V53">
            <v>0</v>
          </cell>
          <cell r="W53">
            <v>0</v>
          </cell>
          <cell r="X53">
            <v>0</v>
          </cell>
          <cell r="Y53">
            <v>0</v>
          </cell>
          <cell r="Z53">
            <v>0</v>
          </cell>
          <cell r="AA53">
            <v>0</v>
          </cell>
          <cell r="AB53">
            <v>0</v>
          </cell>
          <cell r="AC53">
            <v>0</v>
          </cell>
          <cell r="AD53">
            <v>0</v>
          </cell>
        </row>
        <row r="54">
          <cell r="B54" t="str">
            <v>FY13-Total non-Cash Based</v>
          </cell>
          <cell r="C54" t="str">
            <v>Total non-Cash Based</v>
          </cell>
          <cell r="D54">
            <v>0</v>
          </cell>
          <cell r="E54">
            <v>0</v>
          </cell>
          <cell r="F54">
            <v>0</v>
          </cell>
          <cell r="G54">
            <v>0</v>
          </cell>
          <cell r="H54">
            <v>0</v>
          </cell>
          <cell r="I54">
            <v>0</v>
          </cell>
          <cell r="J54">
            <v>0</v>
          </cell>
          <cell r="K54">
            <v>0</v>
          </cell>
          <cell r="L54">
            <v>0</v>
          </cell>
          <cell r="M54">
            <v>0</v>
          </cell>
          <cell r="N54">
            <v>0</v>
          </cell>
          <cell r="O54">
            <v>0</v>
          </cell>
          <cell r="P54">
            <v>0</v>
          </cell>
          <cell r="R54" t="str">
            <v>FY13-Total non-Cash Based</v>
          </cell>
          <cell r="S54">
            <v>0</v>
          </cell>
          <cell r="T54">
            <v>0</v>
          </cell>
          <cell r="U54">
            <v>0</v>
          </cell>
          <cell r="V54">
            <v>0</v>
          </cell>
          <cell r="W54">
            <v>0</v>
          </cell>
          <cell r="X54">
            <v>0</v>
          </cell>
          <cell r="Y54">
            <v>0</v>
          </cell>
          <cell r="Z54">
            <v>0</v>
          </cell>
          <cell r="AA54">
            <v>0</v>
          </cell>
          <cell r="AB54">
            <v>0</v>
          </cell>
          <cell r="AC54">
            <v>0</v>
          </cell>
          <cell r="AD54">
            <v>0</v>
          </cell>
        </row>
        <row r="55">
          <cell r="B55" t="str">
            <v>FY13-Grand total</v>
          </cell>
          <cell r="C55" t="str">
            <v>Grand total</v>
          </cell>
          <cell r="D55">
            <v>0</v>
          </cell>
          <cell r="E55">
            <v>0</v>
          </cell>
          <cell r="F55">
            <v>0</v>
          </cell>
          <cell r="G55">
            <v>0</v>
          </cell>
          <cell r="H55">
            <v>0</v>
          </cell>
          <cell r="I55">
            <v>0</v>
          </cell>
          <cell r="J55">
            <v>0</v>
          </cell>
          <cell r="K55">
            <v>0</v>
          </cell>
          <cell r="L55">
            <v>0</v>
          </cell>
          <cell r="M55">
            <v>0</v>
          </cell>
          <cell r="N55">
            <v>0</v>
          </cell>
          <cell r="O55">
            <v>0</v>
          </cell>
          <cell r="P55">
            <v>0</v>
          </cell>
          <cell r="R55" t="str">
            <v>FY13-Grand total</v>
          </cell>
          <cell r="S55">
            <v>0</v>
          </cell>
          <cell r="T55">
            <v>0</v>
          </cell>
          <cell r="U55">
            <v>0</v>
          </cell>
          <cell r="V55">
            <v>0</v>
          </cell>
          <cell r="W55">
            <v>0</v>
          </cell>
          <cell r="X55">
            <v>0</v>
          </cell>
          <cell r="Y55">
            <v>0</v>
          </cell>
          <cell r="Z55">
            <v>0</v>
          </cell>
          <cell r="AA55">
            <v>0</v>
          </cell>
          <cell r="AB55">
            <v>0</v>
          </cell>
          <cell r="AC55">
            <v>0</v>
          </cell>
          <cell r="AD55">
            <v>0</v>
          </cell>
        </row>
        <row r="56">
          <cell r="B56" t="str">
            <v>FY14-Univ PBA</v>
          </cell>
          <cell r="C56" t="str">
            <v>Univ PBA</v>
          </cell>
          <cell r="D56">
            <v>0</v>
          </cell>
          <cell r="E56">
            <v>0</v>
          </cell>
          <cell r="F56">
            <v>0</v>
          </cell>
          <cell r="G56">
            <v>0</v>
          </cell>
          <cell r="H56">
            <v>0</v>
          </cell>
          <cell r="I56">
            <v>0</v>
          </cell>
          <cell r="J56">
            <v>0</v>
          </cell>
          <cell r="K56">
            <v>0</v>
          </cell>
          <cell r="L56">
            <v>0</v>
          </cell>
          <cell r="M56">
            <v>0</v>
          </cell>
          <cell r="N56">
            <v>0</v>
          </cell>
          <cell r="O56">
            <v>0</v>
          </cell>
          <cell r="P56">
            <v>0</v>
          </cell>
          <cell r="R56" t="str">
            <v>FY14-Univ PBA</v>
          </cell>
          <cell r="S56">
            <v>0</v>
          </cell>
          <cell r="T56">
            <v>0</v>
          </cell>
          <cell r="U56">
            <v>0</v>
          </cell>
          <cell r="V56">
            <v>0</v>
          </cell>
          <cell r="W56">
            <v>0</v>
          </cell>
          <cell r="X56">
            <v>0</v>
          </cell>
          <cell r="Y56">
            <v>0</v>
          </cell>
          <cell r="Z56">
            <v>0</v>
          </cell>
          <cell r="AA56">
            <v>0</v>
          </cell>
          <cell r="AB56">
            <v>0</v>
          </cell>
          <cell r="AC56">
            <v>0</v>
          </cell>
          <cell r="AD56">
            <v>0</v>
          </cell>
        </row>
        <row r="57">
          <cell r="B57" t="str">
            <v>FY14-Univ Cash</v>
          </cell>
          <cell r="C57" t="str">
            <v>Univ Cash</v>
          </cell>
          <cell r="D57">
            <v>0</v>
          </cell>
          <cell r="E57">
            <v>0</v>
          </cell>
          <cell r="F57">
            <v>0</v>
          </cell>
          <cell r="G57">
            <v>0</v>
          </cell>
          <cell r="H57">
            <v>0</v>
          </cell>
          <cell r="I57">
            <v>0</v>
          </cell>
          <cell r="J57">
            <v>0</v>
          </cell>
          <cell r="K57">
            <v>0</v>
          </cell>
          <cell r="L57">
            <v>0</v>
          </cell>
          <cell r="M57">
            <v>0</v>
          </cell>
          <cell r="N57">
            <v>0</v>
          </cell>
          <cell r="O57">
            <v>0</v>
          </cell>
          <cell r="P57">
            <v>0</v>
          </cell>
          <cell r="R57" t="str">
            <v>FY14-Univ Cash</v>
          </cell>
          <cell r="S57">
            <v>0</v>
          </cell>
          <cell r="T57">
            <v>0</v>
          </cell>
          <cell r="U57">
            <v>0</v>
          </cell>
          <cell r="V57">
            <v>0</v>
          </cell>
          <cell r="W57">
            <v>0</v>
          </cell>
          <cell r="X57">
            <v>0</v>
          </cell>
          <cell r="Y57">
            <v>0</v>
          </cell>
          <cell r="Z57">
            <v>0</v>
          </cell>
          <cell r="AA57">
            <v>0</v>
          </cell>
          <cell r="AB57">
            <v>0</v>
          </cell>
          <cell r="AC57">
            <v>0</v>
          </cell>
          <cell r="AD57">
            <v>0</v>
          </cell>
        </row>
        <row r="58">
          <cell r="B58" t="str">
            <v>FY14-CIO PBA</v>
          </cell>
          <cell r="C58" t="str">
            <v>CIO PBA</v>
          </cell>
          <cell r="D58">
            <v>0</v>
          </cell>
          <cell r="E58">
            <v>0</v>
          </cell>
          <cell r="F58">
            <v>0</v>
          </cell>
          <cell r="G58">
            <v>0</v>
          </cell>
          <cell r="H58">
            <v>0</v>
          </cell>
          <cell r="I58">
            <v>0</v>
          </cell>
          <cell r="J58">
            <v>0</v>
          </cell>
          <cell r="K58">
            <v>0</v>
          </cell>
          <cell r="L58">
            <v>0</v>
          </cell>
          <cell r="M58">
            <v>0</v>
          </cell>
          <cell r="N58">
            <v>0</v>
          </cell>
          <cell r="O58">
            <v>0</v>
          </cell>
          <cell r="P58">
            <v>0</v>
          </cell>
          <cell r="R58" t="str">
            <v>FY14-CIO PBA</v>
          </cell>
          <cell r="S58">
            <v>0</v>
          </cell>
          <cell r="T58">
            <v>0</v>
          </cell>
          <cell r="U58">
            <v>0</v>
          </cell>
          <cell r="V58">
            <v>0</v>
          </cell>
          <cell r="W58">
            <v>0</v>
          </cell>
          <cell r="X58">
            <v>0</v>
          </cell>
          <cell r="Y58">
            <v>0</v>
          </cell>
          <cell r="Z58">
            <v>0</v>
          </cell>
          <cell r="AA58">
            <v>0</v>
          </cell>
          <cell r="AB58">
            <v>0</v>
          </cell>
          <cell r="AC58">
            <v>0</v>
          </cell>
          <cell r="AD58">
            <v>0</v>
          </cell>
        </row>
        <row r="59">
          <cell r="B59" t="str">
            <v>FY14-CIO Cash</v>
          </cell>
          <cell r="C59" t="str">
            <v>CIO Cash</v>
          </cell>
          <cell r="D59">
            <v>0</v>
          </cell>
          <cell r="E59">
            <v>0</v>
          </cell>
          <cell r="F59">
            <v>0</v>
          </cell>
          <cell r="G59">
            <v>0</v>
          </cell>
          <cell r="H59">
            <v>0</v>
          </cell>
          <cell r="I59">
            <v>0</v>
          </cell>
          <cell r="J59">
            <v>0</v>
          </cell>
          <cell r="K59">
            <v>0</v>
          </cell>
          <cell r="L59">
            <v>0</v>
          </cell>
          <cell r="M59">
            <v>0</v>
          </cell>
          <cell r="N59">
            <v>0</v>
          </cell>
          <cell r="O59">
            <v>0</v>
          </cell>
          <cell r="P59">
            <v>0</v>
          </cell>
          <cell r="R59" t="str">
            <v>FY14-CIO Cash</v>
          </cell>
          <cell r="S59">
            <v>0</v>
          </cell>
          <cell r="T59">
            <v>0</v>
          </cell>
          <cell r="U59">
            <v>0</v>
          </cell>
          <cell r="V59">
            <v>0</v>
          </cell>
          <cell r="W59">
            <v>0</v>
          </cell>
          <cell r="X59">
            <v>0</v>
          </cell>
          <cell r="Y59">
            <v>0</v>
          </cell>
          <cell r="Z59">
            <v>0</v>
          </cell>
          <cell r="AA59">
            <v>0</v>
          </cell>
          <cell r="AB59">
            <v>0</v>
          </cell>
          <cell r="AC59">
            <v>0</v>
          </cell>
          <cell r="AD59">
            <v>0</v>
          </cell>
        </row>
        <row r="60">
          <cell r="B60" t="str">
            <v>FY14-Other Cash</v>
          </cell>
          <cell r="C60" t="str">
            <v>Other Cash</v>
          </cell>
          <cell r="D60">
            <v>0</v>
          </cell>
          <cell r="E60">
            <v>0</v>
          </cell>
          <cell r="F60">
            <v>0</v>
          </cell>
          <cell r="G60">
            <v>0</v>
          </cell>
          <cell r="H60">
            <v>0</v>
          </cell>
          <cell r="I60">
            <v>0</v>
          </cell>
          <cell r="J60">
            <v>0</v>
          </cell>
          <cell r="K60">
            <v>0</v>
          </cell>
          <cell r="L60">
            <v>0</v>
          </cell>
          <cell r="M60">
            <v>0</v>
          </cell>
          <cell r="N60">
            <v>0</v>
          </cell>
          <cell r="O60">
            <v>0</v>
          </cell>
          <cell r="P60">
            <v>0</v>
          </cell>
          <cell r="R60" t="str">
            <v>FY14-Other Cash</v>
          </cell>
          <cell r="S60">
            <v>0</v>
          </cell>
          <cell r="T60">
            <v>0</v>
          </cell>
          <cell r="U60">
            <v>0</v>
          </cell>
          <cell r="V60">
            <v>0</v>
          </cell>
          <cell r="W60">
            <v>0</v>
          </cell>
          <cell r="X60">
            <v>0</v>
          </cell>
          <cell r="Y60">
            <v>0</v>
          </cell>
          <cell r="Z60">
            <v>0</v>
          </cell>
          <cell r="AA60">
            <v>0</v>
          </cell>
          <cell r="AB60">
            <v>0</v>
          </cell>
          <cell r="AC60">
            <v>0</v>
          </cell>
          <cell r="AD60">
            <v>0</v>
          </cell>
        </row>
        <row r="61">
          <cell r="B61" t="str">
            <v>FY14-Donated Resources</v>
          </cell>
          <cell r="C61" t="str">
            <v>Donated Resources</v>
          </cell>
          <cell r="D61">
            <v>0</v>
          </cell>
          <cell r="E61">
            <v>0</v>
          </cell>
          <cell r="F61">
            <v>0</v>
          </cell>
          <cell r="G61">
            <v>0</v>
          </cell>
          <cell r="H61">
            <v>0</v>
          </cell>
          <cell r="I61">
            <v>0</v>
          </cell>
          <cell r="J61">
            <v>0</v>
          </cell>
          <cell r="K61">
            <v>0</v>
          </cell>
          <cell r="L61">
            <v>0</v>
          </cell>
          <cell r="M61">
            <v>0</v>
          </cell>
          <cell r="N61">
            <v>0</v>
          </cell>
          <cell r="O61">
            <v>0</v>
          </cell>
          <cell r="P61">
            <v>0</v>
          </cell>
          <cell r="R61" t="str">
            <v>FY14-Donated Resources</v>
          </cell>
          <cell r="S61">
            <v>0</v>
          </cell>
          <cell r="T61">
            <v>0</v>
          </cell>
          <cell r="U61">
            <v>0</v>
          </cell>
          <cell r="V61">
            <v>0</v>
          </cell>
          <cell r="W61">
            <v>0</v>
          </cell>
          <cell r="X61">
            <v>0</v>
          </cell>
          <cell r="Y61">
            <v>0</v>
          </cell>
          <cell r="Z61">
            <v>0</v>
          </cell>
          <cell r="AA61">
            <v>0</v>
          </cell>
          <cell r="AB61">
            <v>0</v>
          </cell>
          <cell r="AC61">
            <v>0</v>
          </cell>
          <cell r="AD61">
            <v>0</v>
          </cell>
        </row>
        <row r="62">
          <cell r="B62" t="str">
            <v>FY14-Other non-Cash</v>
          </cell>
          <cell r="C62" t="str">
            <v>Other non-Cash</v>
          </cell>
          <cell r="D62">
            <v>0</v>
          </cell>
          <cell r="E62">
            <v>0</v>
          </cell>
          <cell r="F62">
            <v>0</v>
          </cell>
          <cell r="G62">
            <v>0</v>
          </cell>
          <cell r="H62">
            <v>0</v>
          </cell>
          <cell r="I62">
            <v>0</v>
          </cell>
          <cell r="J62">
            <v>0</v>
          </cell>
          <cell r="K62">
            <v>0</v>
          </cell>
          <cell r="L62">
            <v>0</v>
          </cell>
          <cell r="M62">
            <v>0</v>
          </cell>
          <cell r="N62">
            <v>0</v>
          </cell>
          <cell r="O62">
            <v>0</v>
          </cell>
          <cell r="P62">
            <v>0</v>
          </cell>
          <cell r="R62" t="str">
            <v>FY14-Other non-Cash</v>
          </cell>
          <cell r="S62">
            <v>0</v>
          </cell>
          <cell r="T62">
            <v>0</v>
          </cell>
          <cell r="U62">
            <v>0</v>
          </cell>
          <cell r="V62">
            <v>0</v>
          </cell>
          <cell r="W62">
            <v>0</v>
          </cell>
          <cell r="X62">
            <v>0</v>
          </cell>
          <cell r="Y62">
            <v>0</v>
          </cell>
          <cell r="Z62">
            <v>0</v>
          </cell>
          <cell r="AA62">
            <v>0</v>
          </cell>
          <cell r="AB62">
            <v>0</v>
          </cell>
          <cell r="AC62">
            <v>0</v>
          </cell>
          <cell r="AD62">
            <v>0</v>
          </cell>
        </row>
        <row r="63">
          <cell r="B63" t="str">
            <v>FY14-Total Cash-Based</v>
          </cell>
          <cell r="C63" t="str">
            <v>Total Cash-Based</v>
          </cell>
          <cell r="D63">
            <v>0</v>
          </cell>
          <cell r="E63">
            <v>0</v>
          </cell>
          <cell r="F63">
            <v>0</v>
          </cell>
          <cell r="G63">
            <v>0</v>
          </cell>
          <cell r="H63">
            <v>0</v>
          </cell>
          <cell r="I63">
            <v>0</v>
          </cell>
          <cell r="J63">
            <v>0</v>
          </cell>
          <cell r="K63">
            <v>0</v>
          </cell>
          <cell r="L63">
            <v>0</v>
          </cell>
          <cell r="M63">
            <v>0</v>
          </cell>
          <cell r="N63">
            <v>0</v>
          </cell>
          <cell r="O63">
            <v>0</v>
          </cell>
          <cell r="P63">
            <v>0</v>
          </cell>
          <cell r="R63" t="str">
            <v>FY14-Total Cash-Based</v>
          </cell>
          <cell r="S63">
            <v>0</v>
          </cell>
          <cell r="T63">
            <v>0</v>
          </cell>
          <cell r="U63">
            <v>0</v>
          </cell>
          <cell r="V63">
            <v>0</v>
          </cell>
          <cell r="W63">
            <v>0</v>
          </cell>
          <cell r="X63">
            <v>0</v>
          </cell>
          <cell r="Y63">
            <v>0</v>
          </cell>
          <cell r="Z63">
            <v>0</v>
          </cell>
          <cell r="AA63">
            <v>0</v>
          </cell>
          <cell r="AB63">
            <v>0</v>
          </cell>
          <cell r="AC63">
            <v>0</v>
          </cell>
          <cell r="AD63">
            <v>0</v>
          </cell>
        </row>
        <row r="64">
          <cell r="B64" t="str">
            <v>FY14-Total non-Cash Based</v>
          </cell>
          <cell r="C64" t="str">
            <v>Total non-Cash Based</v>
          </cell>
          <cell r="D64">
            <v>0</v>
          </cell>
          <cell r="E64">
            <v>0</v>
          </cell>
          <cell r="F64">
            <v>0</v>
          </cell>
          <cell r="G64">
            <v>0</v>
          </cell>
          <cell r="H64">
            <v>0</v>
          </cell>
          <cell r="I64">
            <v>0</v>
          </cell>
          <cell r="J64">
            <v>0</v>
          </cell>
          <cell r="K64">
            <v>0</v>
          </cell>
          <cell r="L64">
            <v>0</v>
          </cell>
          <cell r="M64">
            <v>0</v>
          </cell>
          <cell r="N64">
            <v>0</v>
          </cell>
          <cell r="O64">
            <v>0</v>
          </cell>
          <cell r="P64">
            <v>0</v>
          </cell>
          <cell r="R64" t="str">
            <v>FY14-Total non-Cash Based</v>
          </cell>
          <cell r="S64">
            <v>0</v>
          </cell>
          <cell r="T64">
            <v>0</v>
          </cell>
          <cell r="U64">
            <v>0</v>
          </cell>
          <cell r="V64">
            <v>0</v>
          </cell>
          <cell r="W64">
            <v>0</v>
          </cell>
          <cell r="X64">
            <v>0</v>
          </cell>
          <cell r="Y64">
            <v>0</v>
          </cell>
          <cell r="Z64">
            <v>0</v>
          </cell>
          <cell r="AA64">
            <v>0</v>
          </cell>
          <cell r="AB64">
            <v>0</v>
          </cell>
          <cell r="AC64">
            <v>0</v>
          </cell>
          <cell r="AD64">
            <v>0</v>
          </cell>
        </row>
        <row r="65">
          <cell r="B65" t="str">
            <v>FY14-Grand total</v>
          </cell>
          <cell r="C65" t="str">
            <v>Grand total</v>
          </cell>
          <cell r="D65">
            <v>0</v>
          </cell>
          <cell r="E65">
            <v>0</v>
          </cell>
          <cell r="F65">
            <v>0</v>
          </cell>
          <cell r="G65">
            <v>0</v>
          </cell>
          <cell r="H65">
            <v>0</v>
          </cell>
          <cell r="I65">
            <v>0</v>
          </cell>
          <cell r="J65">
            <v>0</v>
          </cell>
          <cell r="K65">
            <v>0</v>
          </cell>
          <cell r="L65">
            <v>0</v>
          </cell>
          <cell r="M65">
            <v>0</v>
          </cell>
          <cell r="N65">
            <v>0</v>
          </cell>
          <cell r="O65">
            <v>0</v>
          </cell>
          <cell r="P65">
            <v>0</v>
          </cell>
          <cell r="R65" t="str">
            <v>FY14-Grand total</v>
          </cell>
          <cell r="S65">
            <v>0</v>
          </cell>
          <cell r="T65">
            <v>0</v>
          </cell>
          <cell r="U65">
            <v>0</v>
          </cell>
          <cell r="V65">
            <v>0</v>
          </cell>
          <cell r="W65">
            <v>0</v>
          </cell>
          <cell r="X65">
            <v>0</v>
          </cell>
          <cell r="Y65">
            <v>0</v>
          </cell>
          <cell r="Z65">
            <v>0</v>
          </cell>
          <cell r="AA65">
            <v>0</v>
          </cell>
          <cell r="AB65">
            <v>0</v>
          </cell>
          <cell r="AC65">
            <v>0</v>
          </cell>
          <cell r="AD65">
            <v>0</v>
          </cell>
        </row>
        <row r="67">
          <cell r="B67" t="str">
            <v>Total-Univ PBA</v>
          </cell>
          <cell r="C67" t="str">
            <v>Univ PBA</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Total-Univ Cash</v>
          </cell>
          <cell r="C68" t="str">
            <v>Univ Cash</v>
          </cell>
          <cell r="D68">
            <v>16080</v>
          </cell>
          <cell r="E68">
            <v>22080</v>
          </cell>
          <cell r="F68">
            <v>19440</v>
          </cell>
          <cell r="G68">
            <v>20160</v>
          </cell>
          <cell r="H68">
            <v>17040</v>
          </cell>
          <cell r="I68">
            <v>32610</v>
          </cell>
          <cell r="J68">
            <v>85443.5</v>
          </cell>
          <cell r="K68">
            <v>51810</v>
          </cell>
          <cell r="L68">
            <v>56010</v>
          </cell>
          <cell r="M68">
            <v>97070</v>
          </cell>
          <cell r="N68">
            <v>64410</v>
          </cell>
          <cell r="O68">
            <v>62286.5</v>
          </cell>
          <cell r="P68">
            <v>544440</v>
          </cell>
        </row>
        <row r="69">
          <cell r="B69" t="str">
            <v>Total-CIO PBA</v>
          </cell>
          <cell r="C69" t="str">
            <v>CIO PBA</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Total-CIO Cash</v>
          </cell>
          <cell r="C70" t="str">
            <v>CIO Cash</v>
          </cell>
          <cell r="D70">
            <v>0</v>
          </cell>
          <cell r="E70">
            <v>0</v>
          </cell>
          <cell r="F70">
            <v>0</v>
          </cell>
          <cell r="G70">
            <v>0</v>
          </cell>
          <cell r="H70">
            <v>0</v>
          </cell>
          <cell r="I70">
            <v>0</v>
          </cell>
          <cell r="J70">
            <v>0</v>
          </cell>
          <cell r="K70">
            <v>0</v>
          </cell>
          <cell r="L70">
            <v>0</v>
          </cell>
          <cell r="M70">
            <v>0</v>
          </cell>
          <cell r="N70">
            <v>0</v>
          </cell>
          <cell r="O70">
            <v>0</v>
          </cell>
          <cell r="P70">
            <v>0</v>
          </cell>
        </row>
        <row r="71">
          <cell r="B71" t="str">
            <v>Total-Other Cash</v>
          </cell>
          <cell r="C71" t="str">
            <v>Other Cash</v>
          </cell>
          <cell r="D71">
            <v>0</v>
          </cell>
          <cell r="E71">
            <v>0</v>
          </cell>
          <cell r="F71">
            <v>0</v>
          </cell>
          <cell r="G71">
            <v>0</v>
          </cell>
          <cell r="H71">
            <v>0</v>
          </cell>
          <cell r="I71">
            <v>0</v>
          </cell>
          <cell r="J71">
            <v>0</v>
          </cell>
          <cell r="K71">
            <v>0</v>
          </cell>
          <cell r="L71">
            <v>0</v>
          </cell>
          <cell r="M71">
            <v>0</v>
          </cell>
          <cell r="N71">
            <v>0</v>
          </cell>
          <cell r="O71">
            <v>0</v>
          </cell>
          <cell r="P71">
            <v>0</v>
          </cell>
        </row>
        <row r="72">
          <cell r="B72" t="str">
            <v>Total-Donated Resources</v>
          </cell>
          <cell r="C72" t="str">
            <v>Donated Resources</v>
          </cell>
          <cell r="D72">
            <v>0</v>
          </cell>
          <cell r="E72">
            <v>8000</v>
          </cell>
          <cell r="F72">
            <v>8000</v>
          </cell>
          <cell r="G72">
            <v>21540</v>
          </cell>
          <cell r="H72">
            <v>21060</v>
          </cell>
          <cell r="I72">
            <v>31412.799999999992</v>
          </cell>
          <cell r="J72">
            <v>92140.800000000003</v>
          </cell>
          <cell r="K72">
            <v>40460.000000000007</v>
          </cell>
          <cell r="L72">
            <v>56928.800000000032</v>
          </cell>
          <cell r="M72">
            <v>50701.60000000002</v>
          </cell>
          <cell r="N72">
            <v>39926.399999999994</v>
          </cell>
          <cell r="O72">
            <v>14469.599999999977</v>
          </cell>
          <cell r="P72">
            <v>384640</v>
          </cell>
        </row>
        <row r="73">
          <cell r="B73" t="str">
            <v>Total-Other non-Cash</v>
          </cell>
          <cell r="C73" t="str">
            <v>Other non-Cash</v>
          </cell>
          <cell r="D73">
            <v>0</v>
          </cell>
          <cell r="E73">
            <v>0</v>
          </cell>
          <cell r="F73">
            <v>0</v>
          </cell>
          <cell r="G73">
            <v>0</v>
          </cell>
          <cell r="H73">
            <v>0</v>
          </cell>
          <cell r="I73">
            <v>0</v>
          </cell>
          <cell r="J73">
            <v>0</v>
          </cell>
          <cell r="K73">
            <v>0</v>
          </cell>
          <cell r="L73">
            <v>0</v>
          </cell>
          <cell r="M73">
            <v>0</v>
          </cell>
          <cell r="N73">
            <v>0</v>
          </cell>
          <cell r="O73">
            <v>0</v>
          </cell>
          <cell r="P73">
            <v>0</v>
          </cell>
        </row>
        <row r="74">
          <cell r="B74" t="str">
            <v>Total-Total Cash-Based</v>
          </cell>
          <cell r="C74" t="str">
            <v>Total Cash-Based</v>
          </cell>
          <cell r="D74">
            <v>16080</v>
          </cell>
          <cell r="E74">
            <v>22080</v>
          </cell>
          <cell r="F74">
            <v>19440</v>
          </cell>
          <cell r="G74">
            <v>20160</v>
          </cell>
          <cell r="H74">
            <v>17040</v>
          </cell>
          <cell r="I74">
            <v>32610</v>
          </cell>
          <cell r="J74">
            <v>85443.5</v>
          </cell>
          <cell r="K74">
            <v>51810</v>
          </cell>
          <cell r="L74">
            <v>56010</v>
          </cell>
          <cell r="M74">
            <v>97070</v>
          </cell>
          <cell r="N74">
            <v>64410</v>
          </cell>
          <cell r="O74">
            <v>62286.5</v>
          </cell>
          <cell r="P74">
            <v>544440</v>
          </cell>
        </row>
        <row r="75">
          <cell r="B75" t="str">
            <v>Total-Total non-Cash Based</v>
          </cell>
          <cell r="C75" t="str">
            <v>Total non-Cash Based</v>
          </cell>
          <cell r="D75">
            <v>0</v>
          </cell>
          <cell r="E75">
            <v>8000</v>
          </cell>
          <cell r="F75">
            <v>8000</v>
          </cell>
          <cell r="G75">
            <v>21540</v>
          </cell>
          <cell r="H75">
            <v>21060</v>
          </cell>
          <cell r="I75">
            <v>31412.799999999992</v>
          </cell>
          <cell r="J75">
            <v>92140.800000000003</v>
          </cell>
          <cell r="K75">
            <v>40460.000000000007</v>
          </cell>
          <cell r="L75">
            <v>56928.800000000032</v>
          </cell>
          <cell r="M75">
            <v>50701.60000000002</v>
          </cell>
          <cell r="N75">
            <v>39926.399999999994</v>
          </cell>
          <cell r="O75">
            <v>14469.599999999977</v>
          </cell>
          <cell r="P75">
            <v>384640</v>
          </cell>
        </row>
        <row r="76">
          <cell r="B76" t="str">
            <v>Total-Grand total</v>
          </cell>
          <cell r="C76" t="str">
            <v>Grand total</v>
          </cell>
          <cell r="D76">
            <v>16080</v>
          </cell>
          <cell r="E76">
            <v>30080</v>
          </cell>
          <cell r="F76">
            <v>27440</v>
          </cell>
          <cell r="G76">
            <v>41700</v>
          </cell>
          <cell r="H76">
            <v>38100</v>
          </cell>
          <cell r="I76">
            <v>64022.799999999988</v>
          </cell>
          <cell r="J76">
            <v>177584.3</v>
          </cell>
          <cell r="K76">
            <v>92270</v>
          </cell>
          <cell r="L76">
            <v>112938.80000000003</v>
          </cell>
          <cell r="M76">
            <v>147771.60000000003</v>
          </cell>
          <cell r="N76">
            <v>104336.4</v>
          </cell>
          <cell r="O76">
            <v>76756.099999999977</v>
          </cell>
          <cell r="P76">
            <v>929080</v>
          </cell>
        </row>
      </sheetData>
      <sheetData sheetId="15">
        <row r="4">
          <cell r="B4" t="str">
            <v>FY12-Non-Labor Cost</v>
          </cell>
          <cell r="C4" t="str">
            <v>Non-Labor Cost</v>
          </cell>
          <cell r="D4">
            <v>0</v>
          </cell>
          <cell r="E4">
            <v>0</v>
          </cell>
          <cell r="F4">
            <v>0</v>
          </cell>
          <cell r="G4">
            <v>0</v>
          </cell>
          <cell r="H4">
            <v>0</v>
          </cell>
          <cell r="I4">
            <v>0</v>
          </cell>
          <cell r="J4">
            <v>44420</v>
          </cell>
          <cell r="K4">
            <v>0</v>
          </cell>
          <cell r="L4">
            <v>0</v>
          </cell>
          <cell r="M4">
            <v>44420</v>
          </cell>
          <cell r="N4">
            <v>0</v>
          </cell>
          <cell r="O4">
            <v>0</v>
          </cell>
          <cell r="P4">
            <v>88840</v>
          </cell>
          <cell r="R4" t="str">
            <v>FY12-Non-Labor Cost</v>
          </cell>
          <cell r="S4">
            <v>0</v>
          </cell>
          <cell r="T4">
            <v>0</v>
          </cell>
          <cell r="U4">
            <v>0</v>
          </cell>
          <cell r="V4">
            <v>0</v>
          </cell>
          <cell r="W4">
            <v>0</v>
          </cell>
          <cell r="X4">
            <v>0</v>
          </cell>
          <cell r="Y4">
            <v>44420</v>
          </cell>
          <cell r="Z4">
            <v>44420</v>
          </cell>
          <cell r="AA4">
            <v>44420</v>
          </cell>
          <cell r="AB4">
            <v>88840</v>
          </cell>
          <cell r="AC4">
            <v>88840</v>
          </cell>
          <cell r="AD4">
            <v>88840</v>
          </cell>
        </row>
        <row r="5">
          <cell r="B5" t="str">
            <v>FY12-Cash Labor Costs</v>
          </cell>
          <cell r="C5" t="str">
            <v>Cash Labor Costs</v>
          </cell>
          <cell r="D5">
            <v>16080</v>
          </cell>
          <cell r="E5">
            <v>22080</v>
          </cell>
          <cell r="F5">
            <v>19440</v>
          </cell>
          <cell r="G5">
            <v>20160</v>
          </cell>
          <cell r="H5">
            <v>17040</v>
          </cell>
          <cell r="I5">
            <v>33990</v>
          </cell>
          <cell r="J5">
            <v>29080.5</v>
          </cell>
          <cell r="K5">
            <v>51250.2</v>
          </cell>
          <cell r="L5">
            <v>56010</v>
          </cell>
          <cell r="M5">
            <v>65250</v>
          </cell>
          <cell r="N5">
            <v>64410</v>
          </cell>
          <cell r="O5">
            <v>62673.3</v>
          </cell>
          <cell r="P5">
            <v>457464</v>
          </cell>
          <cell r="R5" t="str">
            <v>FY12-Cash Labor Costs</v>
          </cell>
          <cell r="S5">
            <v>16080</v>
          </cell>
          <cell r="T5">
            <v>38160</v>
          </cell>
          <cell r="U5">
            <v>57600</v>
          </cell>
          <cell r="V5">
            <v>77760</v>
          </cell>
          <cell r="W5">
            <v>94800</v>
          </cell>
          <cell r="X5">
            <v>128790</v>
          </cell>
          <cell r="Y5">
            <v>157870.5</v>
          </cell>
          <cell r="Z5">
            <v>209120.7</v>
          </cell>
          <cell r="AA5">
            <v>265130.7</v>
          </cell>
          <cell r="AB5">
            <v>330380.7</v>
          </cell>
          <cell r="AC5">
            <v>394790.7</v>
          </cell>
          <cell r="AD5">
            <v>457464</v>
          </cell>
        </row>
        <row r="6">
          <cell r="B6" t="str">
            <v>FY12-Non-Cash Labor Costs</v>
          </cell>
          <cell r="C6" t="str">
            <v>Non-Cash Labor Costs</v>
          </cell>
          <cell r="D6">
            <v>0</v>
          </cell>
          <cell r="E6">
            <v>8000</v>
          </cell>
          <cell r="F6">
            <v>8000</v>
          </cell>
          <cell r="G6">
            <v>21540</v>
          </cell>
          <cell r="H6">
            <v>21060</v>
          </cell>
          <cell r="I6">
            <v>10664</v>
          </cell>
          <cell r="J6">
            <v>41369.600000000006</v>
          </cell>
          <cell r="K6">
            <v>38307.19999999999</v>
          </cell>
          <cell r="L6">
            <v>53854.399999999994</v>
          </cell>
          <cell r="M6">
            <v>62467.200000000004</v>
          </cell>
          <cell r="N6">
            <v>82829.600000000006</v>
          </cell>
          <cell r="O6">
            <v>36445.599999999984</v>
          </cell>
          <cell r="P6">
            <v>384537.59999999998</v>
          </cell>
          <cell r="R6" t="str">
            <v>FY12-Non-Cash Labor Costs</v>
          </cell>
          <cell r="S6">
            <v>0</v>
          </cell>
          <cell r="T6">
            <v>8000</v>
          </cell>
          <cell r="U6">
            <v>16000</v>
          </cell>
          <cell r="V6">
            <v>37540</v>
          </cell>
          <cell r="W6">
            <v>58600</v>
          </cell>
          <cell r="X6">
            <v>69264</v>
          </cell>
          <cell r="Y6">
            <v>110633.60000000001</v>
          </cell>
          <cell r="Z6">
            <v>148940.79999999999</v>
          </cell>
          <cell r="AA6">
            <v>202795.19999999998</v>
          </cell>
          <cell r="AB6">
            <v>265262.39999999997</v>
          </cell>
          <cell r="AC6">
            <v>348092</v>
          </cell>
          <cell r="AD6">
            <v>384537.59999999998</v>
          </cell>
        </row>
        <row r="7">
          <cell r="B7" t="str">
            <v>FY12-Cash Labor Hours</v>
          </cell>
          <cell r="C7" t="str">
            <v>Cash Labor Hours</v>
          </cell>
          <cell r="D7">
            <v>134</v>
          </cell>
          <cell r="E7">
            <v>184</v>
          </cell>
          <cell r="F7">
            <v>162</v>
          </cell>
          <cell r="G7">
            <v>168</v>
          </cell>
          <cell r="H7">
            <v>142</v>
          </cell>
          <cell r="I7">
            <v>325</v>
          </cell>
          <cell r="J7">
            <v>258.45</v>
          </cell>
          <cell r="K7">
            <v>486.78</v>
          </cell>
          <cell r="L7">
            <v>533</v>
          </cell>
          <cell r="M7">
            <v>621</v>
          </cell>
          <cell r="N7">
            <v>613</v>
          </cell>
          <cell r="O7">
            <v>596.87</v>
          </cell>
          <cell r="P7">
            <v>4224</v>
          </cell>
          <cell r="R7" t="str">
            <v>FY12-Cash Labor Hours</v>
          </cell>
          <cell r="S7">
            <v>134</v>
          </cell>
          <cell r="T7">
            <v>318</v>
          </cell>
          <cell r="U7">
            <v>480</v>
          </cell>
          <cell r="V7">
            <v>648</v>
          </cell>
          <cell r="W7">
            <v>790</v>
          </cell>
          <cell r="X7">
            <v>1115</v>
          </cell>
          <cell r="Y7">
            <v>1373.45</v>
          </cell>
          <cell r="Z7">
            <v>1860.23</v>
          </cell>
          <cell r="AA7">
            <v>2393.23</v>
          </cell>
          <cell r="AB7">
            <v>3014.23</v>
          </cell>
          <cell r="AC7">
            <v>3627.23</v>
          </cell>
          <cell r="AD7">
            <v>4224.1000000000004</v>
          </cell>
        </row>
        <row r="8">
          <cell r="B8" t="str">
            <v>FY12-Non-Cash Labor Hours</v>
          </cell>
          <cell r="C8" t="str">
            <v>Non-Cash Labor Hours</v>
          </cell>
          <cell r="D8">
            <v>0</v>
          </cell>
          <cell r="E8">
            <v>100</v>
          </cell>
          <cell r="F8">
            <v>100</v>
          </cell>
          <cell r="G8">
            <v>269.25</v>
          </cell>
          <cell r="H8">
            <v>263.25</v>
          </cell>
          <cell r="I8">
            <v>133.30000000000001</v>
          </cell>
          <cell r="J8">
            <v>517.12000000000012</v>
          </cell>
          <cell r="K8">
            <v>478.84000000000015</v>
          </cell>
          <cell r="L8">
            <v>673.18000000000006</v>
          </cell>
          <cell r="M8">
            <v>780.83999999999969</v>
          </cell>
          <cell r="N8">
            <v>1035.3699999999999</v>
          </cell>
          <cell r="O8">
            <v>455.57000000000022</v>
          </cell>
          <cell r="P8">
            <v>4807</v>
          </cell>
          <cell r="R8" t="str">
            <v>FY12-Non-Cash Labor Hours</v>
          </cell>
          <cell r="S8">
            <v>0</v>
          </cell>
          <cell r="T8">
            <v>100</v>
          </cell>
          <cell r="U8">
            <v>200</v>
          </cell>
          <cell r="V8">
            <v>469.25</v>
          </cell>
          <cell r="W8">
            <v>732.5</v>
          </cell>
          <cell r="X8">
            <v>865.8</v>
          </cell>
          <cell r="Y8">
            <v>1382.92</v>
          </cell>
          <cell r="Z8">
            <v>1861.7600000000002</v>
          </cell>
          <cell r="AA8">
            <v>2534.9400000000005</v>
          </cell>
          <cell r="AB8">
            <v>3315.78</v>
          </cell>
          <cell r="AC8">
            <v>4351.1499999999996</v>
          </cell>
          <cell r="AD8">
            <v>4806.72</v>
          </cell>
        </row>
        <row r="9">
          <cell r="B9" t="str">
            <v>FY12-Total Cost</v>
          </cell>
          <cell r="C9" t="str">
            <v>Total Cost</v>
          </cell>
          <cell r="D9">
            <v>16080</v>
          </cell>
          <cell r="E9">
            <v>30080</v>
          </cell>
          <cell r="F9">
            <v>27440</v>
          </cell>
          <cell r="G9">
            <v>41700</v>
          </cell>
          <cell r="H9">
            <v>38100</v>
          </cell>
          <cell r="I9">
            <v>44654</v>
          </cell>
          <cell r="J9">
            <v>114870.1</v>
          </cell>
          <cell r="K9">
            <v>89557.4</v>
          </cell>
          <cell r="L9">
            <v>109864.4</v>
          </cell>
          <cell r="M9">
            <v>172137.2</v>
          </cell>
          <cell r="N9">
            <v>147239.6</v>
          </cell>
          <cell r="O9">
            <v>99118.9</v>
          </cell>
          <cell r="P9">
            <v>930841.60000000009</v>
          </cell>
          <cell r="R9" t="str">
            <v>FY12-Total Cost</v>
          </cell>
          <cell r="S9">
            <v>16080</v>
          </cell>
          <cell r="T9">
            <v>46160</v>
          </cell>
          <cell r="U9">
            <v>73600</v>
          </cell>
          <cell r="V9">
            <v>115300</v>
          </cell>
          <cell r="W9">
            <v>153400</v>
          </cell>
          <cell r="X9">
            <v>198054</v>
          </cell>
          <cell r="Y9">
            <v>312924.09999999998</v>
          </cell>
          <cell r="Z9">
            <v>402481.5</v>
          </cell>
          <cell r="AA9">
            <v>512345.9</v>
          </cell>
          <cell r="AB9">
            <v>684483.1</v>
          </cell>
          <cell r="AC9">
            <v>831722.7</v>
          </cell>
          <cell r="AD9">
            <v>930841.59999999998</v>
          </cell>
        </row>
        <row r="10">
          <cell r="B10" t="str">
            <v>FY12-Total Hours</v>
          </cell>
          <cell r="C10" t="str">
            <v>Total Hours</v>
          </cell>
          <cell r="D10">
            <v>134</v>
          </cell>
          <cell r="E10">
            <v>284</v>
          </cell>
          <cell r="F10">
            <v>262</v>
          </cell>
          <cell r="G10">
            <v>437.25</v>
          </cell>
          <cell r="H10">
            <v>405.25</v>
          </cell>
          <cell r="I10">
            <v>458.3</v>
          </cell>
          <cell r="J10">
            <v>775.57000000000016</v>
          </cell>
          <cell r="K10">
            <v>965.62000000000012</v>
          </cell>
          <cell r="L10">
            <v>1206.18</v>
          </cell>
          <cell r="M10">
            <v>1401.8399999999997</v>
          </cell>
          <cell r="N10">
            <v>1648.37</v>
          </cell>
          <cell r="O10">
            <v>1052.4400000000003</v>
          </cell>
          <cell r="P10">
            <v>9030.82</v>
          </cell>
          <cell r="R10" t="str">
            <v>FY12-Total Hours</v>
          </cell>
          <cell r="S10">
            <v>134</v>
          </cell>
          <cell r="T10">
            <v>418</v>
          </cell>
          <cell r="U10">
            <v>680</v>
          </cell>
          <cell r="V10">
            <v>1117.25</v>
          </cell>
          <cell r="W10">
            <v>1522.5</v>
          </cell>
          <cell r="X10">
            <v>1980.8</v>
          </cell>
          <cell r="Y10">
            <v>2756.37</v>
          </cell>
          <cell r="Z10">
            <v>3721.9900000000002</v>
          </cell>
          <cell r="AA10">
            <v>4928.17</v>
          </cell>
          <cell r="AB10">
            <v>6330.01</v>
          </cell>
          <cell r="AC10">
            <v>7978.3799999999992</v>
          </cell>
          <cell r="AD10">
            <v>9030.82</v>
          </cell>
        </row>
        <row r="11">
          <cell r="B11" t="str">
            <v>FY13-Non-Labor Cost</v>
          </cell>
          <cell r="C11" t="str">
            <v>Non-Labor Cost</v>
          </cell>
          <cell r="D11">
            <v>0</v>
          </cell>
          <cell r="E11">
            <v>0</v>
          </cell>
          <cell r="F11">
            <v>0</v>
          </cell>
          <cell r="G11">
            <v>0</v>
          </cell>
          <cell r="H11">
            <v>0</v>
          </cell>
          <cell r="I11">
            <v>0</v>
          </cell>
          <cell r="J11">
            <v>0</v>
          </cell>
          <cell r="K11">
            <v>0</v>
          </cell>
          <cell r="L11">
            <v>0</v>
          </cell>
          <cell r="M11">
            <v>0</v>
          </cell>
          <cell r="N11">
            <v>0</v>
          </cell>
          <cell r="O11">
            <v>0</v>
          </cell>
          <cell r="P11">
            <v>0</v>
          </cell>
          <cell r="R11" t="str">
            <v>FY13-Non-Labor Cost</v>
          </cell>
          <cell r="S11">
            <v>0</v>
          </cell>
          <cell r="T11">
            <v>0</v>
          </cell>
          <cell r="U11">
            <v>0</v>
          </cell>
          <cell r="V11">
            <v>0</v>
          </cell>
          <cell r="W11">
            <v>0</v>
          </cell>
          <cell r="X11">
            <v>0</v>
          </cell>
          <cell r="Y11">
            <v>0</v>
          </cell>
          <cell r="Z11">
            <v>0</v>
          </cell>
          <cell r="AA11">
            <v>0</v>
          </cell>
          <cell r="AB11">
            <v>0</v>
          </cell>
          <cell r="AC11">
            <v>0</v>
          </cell>
          <cell r="AD11">
            <v>0</v>
          </cell>
        </row>
        <row r="12">
          <cell r="B12" t="str">
            <v>FY13-Cash Labor Costs</v>
          </cell>
          <cell r="C12" t="str">
            <v>Cash Labor Costs</v>
          </cell>
          <cell r="D12">
            <v>0</v>
          </cell>
          <cell r="E12">
            <v>0</v>
          </cell>
          <cell r="F12">
            <v>0</v>
          </cell>
          <cell r="G12">
            <v>0</v>
          </cell>
          <cell r="H12">
            <v>0</v>
          </cell>
          <cell r="I12">
            <v>0</v>
          </cell>
          <cell r="J12">
            <v>0</v>
          </cell>
          <cell r="K12">
            <v>0</v>
          </cell>
          <cell r="L12">
            <v>0</v>
          </cell>
          <cell r="M12">
            <v>0</v>
          </cell>
          <cell r="N12">
            <v>0</v>
          </cell>
          <cell r="O12">
            <v>0</v>
          </cell>
          <cell r="P12">
            <v>0</v>
          </cell>
          <cell r="R12" t="str">
            <v>FY13-Cash Labor Costs</v>
          </cell>
          <cell r="S12">
            <v>0</v>
          </cell>
          <cell r="T12">
            <v>0</v>
          </cell>
          <cell r="U12">
            <v>0</v>
          </cell>
          <cell r="V12">
            <v>0</v>
          </cell>
          <cell r="W12">
            <v>0</v>
          </cell>
          <cell r="X12">
            <v>0</v>
          </cell>
          <cell r="Y12">
            <v>0</v>
          </cell>
          <cell r="Z12">
            <v>0</v>
          </cell>
          <cell r="AA12">
            <v>0</v>
          </cell>
          <cell r="AB12">
            <v>0</v>
          </cell>
          <cell r="AC12">
            <v>0</v>
          </cell>
          <cell r="AD12">
            <v>0</v>
          </cell>
        </row>
        <row r="13">
          <cell r="B13" t="str">
            <v>FY13-Non-Cash Labor Costs</v>
          </cell>
          <cell r="C13" t="str">
            <v>Non-Cash Labor Costs</v>
          </cell>
          <cell r="D13">
            <v>0</v>
          </cell>
          <cell r="E13">
            <v>0</v>
          </cell>
          <cell r="F13">
            <v>0</v>
          </cell>
          <cell r="G13">
            <v>0</v>
          </cell>
          <cell r="H13">
            <v>0</v>
          </cell>
          <cell r="I13">
            <v>0</v>
          </cell>
          <cell r="J13">
            <v>0</v>
          </cell>
          <cell r="K13">
            <v>0</v>
          </cell>
          <cell r="L13">
            <v>0</v>
          </cell>
          <cell r="M13">
            <v>0</v>
          </cell>
          <cell r="N13">
            <v>0</v>
          </cell>
          <cell r="O13">
            <v>0</v>
          </cell>
          <cell r="P13">
            <v>0</v>
          </cell>
          <cell r="R13" t="str">
            <v>FY13-Non-Cash Labor Costs</v>
          </cell>
          <cell r="S13">
            <v>0</v>
          </cell>
          <cell r="T13">
            <v>0</v>
          </cell>
          <cell r="U13">
            <v>0</v>
          </cell>
          <cell r="V13">
            <v>0</v>
          </cell>
          <cell r="W13">
            <v>0</v>
          </cell>
          <cell r="X13">
            <v>0</v>
          </cell>
          <cell r="Y13">
            <v>0</v>
          </cell>
          <cell r="Z13">
            <v>0</v>
          </cell>
          <cell r="AA13">
            <v>0</v>
          </cell>
          <cell r="AB13">
            <v>0</v>
          </cell>
          <cell r="AC13">
            <v>0</v>
          </cell>
          <cell r="AD13">
            <v>0</v>
          </cell>
        </row>
        <row r="14">
          <cell r="B14" t="str">
            <v>FY13-Cash Labor Hours</v>
          </cell>
          <cell r="C14" t="str">
            <v>Cash Labor Hours</v>
          </cell>
          <cell r="D14">
            <v>0</v>
          </cell>
          <cell r="E14">
            <v>0</v>
          </cell>
          <cell r="F14">
            <v>0</v>
          </cell>
          <cell r="G14">
            <v>0</v>
          </cell>
          <cell r="H14">
            <v>0</v>
          </cell>
          <cell r="I14">
            <v>0</v>
          </cell>
          <cell r="J14">
            <v>0</v>
          </cell>
          <cell r="K14">
            <v>0</v>
          </cell>
          <cell r="L14">
            <v>0</v>
          </cell>
          <cell r="M14">
            <v>0</v>
          </cell>
          <cell r="N14">
            <v>0</v>
          </cell>
          <cell r="O14">
            <v>0</v>
          </cell>
          <cell r="P14">
            <v>0</v>
          </cell>
          <cell r="R14" t="str">
            <v>FY13-Cash Labor Hours</v>
          </cell>
          <cell r="S14">
            <v>0</v>
          </cell>
          <cell r="T14">
            <v>0</v>
          </cell>
          <cell r="U14">
            <v>0</v>
          </cell>
          <cell r="V14">
            <v>0</v>
          </cell>
          <cell r="W14">
            <v>0</v>
          </cell>
          <cell r="X14">
            <v>0</v>
          </cell>
          <cell r="Y14">
            <v>0</v>
          </cell>
          <cell r="Z14">
            <v>0</v>
          </cell>
          <cell r="AA14">
            <v>0</v>
          </cell>
          <cell r="AB14">
            <v>0</v>
          </cell>
          <cell r="AC14">
            <v>0</v>
          </cell>
          <cell r="AD14">
            <v>0</v>
          </cell>
        </row>
        <row r="15">
          <cell r="B15" t="str">
            <v>FY13-Non-Cash Labor Hours</v>
          </cell>
          <cell r="C15" t="str">
            <v>Non-Cash Labor Hours</v>
          </cell>
          <cell r="D15">
            <v>0</v>
          </cell>
          <cell r="E15">
            <v>0</v>
          </cell>
          <cell r="F15">
            <v>0</v>
          </cell>
          <cell r="G15">
            <v>0</v>
          </cell>
          <cell r="H15">
            <v>0</v>
          </cell>
          <cell r="I15">
            <v>0</v>
          </cell>
          <cell r="J15">
            <v>0</v>
          </cell>
          <cell r="K15">
            <v>0</v>
          </cell>
          <cell r="L15">
            <v>0</v>
          </cell>
          <cell r="M15">
            <v>0</v>
          </cell>
          <cell r="N15">
            <v>0</v>
          </cell>
          <cell r="O15">
            <v>0</v>
          </cell>
          <cell r="P15">
            <v>0</v>
          </cell>
          <cell r="R15" t="str">
            <v>FY13-Non-Cash Labor Hours</v>
          </cell>
          <cell r="S15">
            <v>0</v>
          </cell>
          <cell r="T15">
            <v>0</v>
          </cell>
          <cell r="U15">
            <v>0</v>
          </cell>
          <cell r="V15">
            <v>0</v>
          </cell>
          <cell r="W15">
            <v>0</v>
          </cell>
          <cell r="X15">
            <v>0</v>
          </cell>
          <cell r="Y15">
            <v>0</v>
          </cell>
          <cell r="Z15">
            <v>0</v>
          </cell>
          <cell r="AA15">
            <v>0</v>
          </cell>
          <cell r="AB15">
            <v>0</v>
          </cell>
          <cell r="AC15">
            <v>0</v>
          </cell>
          <cell r="AD15">
            <v>0</v>
          </cell>
        </row>
        <row r="16">
          <cell r="B16" t="str">
            <v>FY13-Total Cost</v>
          </cell>
          <cell r="C16" t="str">
            <v>Total Cost</v>
          </cell>
          <cell r="D16">
            <v>0</v>
          </cell>
          <cell r="E16">
            <v>0</v>
          </cell>
          <cell r="F16">
            <v>0</v>
          </cell>
          <cell r="G16">
            <v>0</v>
          </cell>
          <cell r="H16">
            <v>0</v>
          </cell>
          <cell r="I16">
            <v>0</v>
          </cell>
          <cell r="J16">
            <v>0</v>
          </cell>
          <cell r="K16">
            <v>0</v>
          </cell>
          <cell r="L16">
            <v>0</v>
          </cell>
          <cell r="M16">
            <v>0</v>
          </cell>
          <cell r="N16">
            <v>0</v>
          </cell>
          <cell r="O16">
            <v>0</v>
          </cell>
          <cell r="P16">
            <v>0</v>
          </cell>
          <cell r="R16" t="str">
            <v>FY13-Total Cost</v>
          </cell>
          <cell r="S16">
            <v>0</v>
          </cell>
          <cell r="T16">
            <v>0</v>
          </cell>
          <cell r="U16">
            <v>0</v>
          </cell>
          <cell r="V16">
            <v>0</v>
          </cell>
          <cell r="W16">
            <v>0</v>
          </cell>
          <cell r="X16">
            <v>0</v>
          </cell>
          <cell r="Y16">
            <v>0</v>
          </cell>
          <cell r="Z16">
            <v>0</v>
          </cell>
          <cell r="AA16">
            <v>0</v>
          </cell>
          <cell r="AB16">
            <v>0</v>
          </cell>
          <cell r="AC16">
            <v>0</v>
          </cell>
          <cell r="AD16">
            <v>0</v>
          </cell>
        </row>
        <row r="17">
          <cell r="B17" t="str">
            <v>FY13-Total Hours</v>
          </cell>
          <cell r="C17" t="str">
            <v>Total Hours</v>
          </cell>
          <cell r="D17">
            <v>0</v>
          </cell>
          <cell r="E17">
            <v>0</v>
          </cell>
          <cell r="F17">
            <v>0</v>
          </cell>
          <cell r="G17">
            <v>0</v>
          </cell>
          <cell r="H17">
            <v>0</v>
          </cell>
          <cell r="I17">
            <v>0</v>
          </cell>
          <cell r="J17">
            <v>0</v>
          </cell>
          <cell r="K17">
            <v>0</v>
          </cell>
          <cell r="L17">
            <v>0</v>
          </cell>
          <cell r="M17">
            <v>0</v>
          </cell>
          <cell r="N17">
            <v>0</v>
          </cell>
          <cell r="O17">
            <v>0</v>
          </cell>
          <cell r="P17">
            <v>0</v>
          </cell>
          <cell r="R17" t="str">
            <v>FY13-Total Hours</v>
          </cell>
          <cell r="S17">
            <v>0</v>
          </cell>
          <cell r="T17">
            <v>0</v>
          </cell>
          <cell r="U17">
            <v>0</v>
          </cell>
          <cell r="V17">
            <v>0</v>
          </cell>
          <cell r="W17">
            <v>0</v>
          </cell>
          <cell r="X17">
            <v>0</v>
          </cell>
          <cell r="Y17">
            <v>0</v>
          </cell>
          <cell r="Z17">
            <v>0</v>
          </cell>
          <cell r="AA17">
            <v>0</v>
          </cell>
          <cell r="AB17">
            <v>0</v>
          </cell>
          <cell r="AC17">
            <v>0</v>
          </cell>
          <cell r="AD17">
            <v>0</v>
          </cell>
        </row>
        <row r="18">
          <cell r="B18" t="str">
            <v>FY14-Non-Labor Cost</v>
          </cell>
          <cell r="C18" t="str">
            <v>Non-Labor Cost</v>
          </cell>
          <cell r="D18">
            <v>0</v>
          </cell>
          <cell r="E18">
            <v>0</v>
          </cell>
          <cell r="F18">
            <v>0</v>
          </cell>
          <cell r="G18">
            <v>0</v>
          </cell>
          <cell r="H18">
            <v>0</v>
          </cell>
          <cell r="I18">
            <v>0</v>
          </cell>
          <cell r="J18">
            <v>0</v>
          </cell>
          <cell r="K18">
            <v>0</v>
          </cell>
          <cell r="L18">
            <v>0</v>
          </cell>
          <cell r="M18">
            <v>0</v>
          </cell>
          <cell r="N18">
            <v>0</v>
          </cell>
          <cell r="O18">
            <v>0</v>
          </cell>
          <cell r="P18">
            <v>0</v>
          </cell>
          <cell r="R18" t="str">
            <v>FY14-Non-Labor Cost</v>
          </cell>
          <cell r="S18">
            <v>0</v>
          </cell>
          <cell r="T18">
            <v>0</v>
          </cell>
          <cell r="U18">
            <v>0</v>
          </cell>
          <cell r="V18">
            <v>0</v>
          </cell>
          <cell r="W18">
            <v>0</v>
          </cell>
          <cell r="X18">
            <v>0</v>
          </cell>
          <cell r="Y18">
            <v>0</v>
          </cell>
          <cell r="Z18">
            <v>0</v>
          </cell>
          <cell r="AA18">
            <v>0</v>
          </cell>
          <cell r="AB18">
            <v>0</v>
          </cell>
          <cell r="AC18">
            <v>0</v>
          </cell>
          <cell r="AD18">
            <v>0</v>
          </cell>
        </row>
        <row r="19">
          <cell r="B19" t="str">
            <v>FY14-Cash Labor Costs</v>
          </cell>
          <cell r="C19" t="str">
            <v>Cash Labor Costs</v>
          </cell>
          <cell r="D19">
            <v>0</v>
          </cell>
          <cell r="E19">
            <v>0</v>
          </cell>
          <cell r="F19">
            <v>0</v>
          </cell>
          <cell r="G19">
            <v>0</v>
          </cell>
          <cell r="H19">
            <v>0</v>
          </cell>
          <cell r="I19">
            <v>0</v>
          </cell>
          <cell r="J19">
            <v>0</v>
          </cell>
          <cell r="K19">
            <v>0</v>
          </cell>
          <cell r="L19">
            <v>0</v>
          </cell>
          <cell r="M19">
            <v>0</v>
          </cell>
          <cell r="N19">
            <v>0</v>
          </cell>
          <cell r="O19">
            <v>0</v>
          </cell>
          <cell r="P19">
            <v>0</v>
          </cell>
          <cell r="R19" t="str">
            <v>FY14-Cash Labor Costs</v>
          </cell>
          <cell r="S19">
            <v>0</v>
          </cell>
          <cell r="T19">
            <v>0</v>
          </cell>
          <cell r="U19">
            <v>0</v>
          </cell>
          <cell r="V19">
            <v>0</v>
          </cell>
          <cell r="W19">
            <v>0</v>
          </cell>
          <cell r="X19">
            <v>0</v>
          </cell>
          <cell r="Y19">
            <v>0</v>
          </cell>
          <cell r="Z19">
            <v>0</v>
          </cell>
          <cell r="AA19">
            <v>0</v>
          </cell>
          <cell r="AB19">
            <v>0</v>
          </cell>
          <cell r="AC19">
            <v>0</v>
          </cell>
          <cell r="AD19">
            <v>0</v>
          </cell>
        </row>
        <row r="20">
          <cell r="B20" t="str">
            <v>FY14-Non-Cash Labor Costs</v>
          </cell>
          <cell r="C20" t="str">
            <v>Non-Cash Labor Costs</v>
          </cell>
          <cell r="D20">
            <v>0</v>
          </cell>
          <cell r="E20">
            <v>0</v>
          </cell>
          <cell r="F20">
            <v>0</v>
          </cell>
          <cell r="G20">
            <v>0</v>
          </cell>
          <cell r="H20">
            <v>0</v>
          </cell>
          <cell r="I20">
            <v>0</v>
          </cell>
          <cell r="J20">
            <v>0</v>
          </cell>
          <cell r="K20">
            <v>0</v>
          </cell>
          <cell r="L20">
            <v>0</v>
          </cell>
          <cell r="M20">
            <v>0</v>
          </cell>
          <cell r="N20">
            <v>0</v>
          </cell>
          <cell r="O20">
            <v>0</v>
          </cell>
          <cell r="P20">
            <v>0</v>
          </cell>
          <cell r="R20" t="str">
            <v>FY14-Non-Cash Labor Costs</v>
          </cell>
          <cell r="S20">
            <v>0</v>
          </cell>
          <cell r="T20">
            <v>0</v>
          </cell>
          <cell r="U20">
            <v>0</v>
          </cell>
          <cell r="V20">
            <v>0</v>
          </cell>
          <cell r="W20">
            <v>0</v>
          </cell>
          <cell r="X20">
            <v>0</v>
          </cell>
          <cell r="Y20">
            <v>0</v>
          </cell>
          <cell r="Z20">
            <v>0</v>
          </cell>
          <cell r="AA20">
            <v>0</v>
          </cell>
          <cell r="AB20">
            <v>0</v>
          </cell>
          <cell r="AC20">
            <v>0</v>
          </cell>
          <cell r="AD20">
            <v>0</v>
          </cell>
        </row>
        <row r="21">
          <cell r="B21" t="str">
            <v>FY14-Cash Labor Hours</v>
          </cell>
          <cell r="C21" t="str">
            <v>Cash Labor Hours</v>
          </cell>
          <cell r="D21">
            <v>0</v>
          </cell>
          <cell r="E21">
            <v>0</v>
          </cell>
          <cell r="F21">
            <v>0</v>
          </cell>
          <cell r="G21">
            <v>0</v>
          </cell>
          <cell r="H21">
            <v>0</v>
          </cell>
          <cell r="I21">
            <v>0</v>
          </cell>
          <cell r="J21">
            <v>0</v>
          </cell>
          <cell r="K21">
            <v>0</v>
          </cell>
          <cell r="L21">
            <v>0</v>
          </cell>
          <cell r="M21">
            <v>0</v>
          </cell>
          <cell r="N21">
            <v>0</v>
          </cell>
          <cell r="O21">
            <v>0</v>
          </cell>
          <cell r="P21">
            <v>0</v>
          </cell>
          <cell r="R21" t="str">
            <v>FY14-Cash Labor Hours</v>
          </cell>
          <cell r="S21">
            <v>0</v>
          </cell>
          <cell r="T21">
            <v>0</v>
          </cell>
          <cell r="U21">
            <v>0</v>
          </cell>
          <cell r="V21">
            <v>0</v>
          </cell>
          <cell r="W21">
            <v>0</v>
          </cell>
          <cell r="X21">
            <v>0</v>
          </cell>
          <cell r="Y21">
            <v>0</v>
          </cell>
          <cell r="Z21">
            <v>0</v>
          </cell>
          <cell r="AA21">
            <v>0</v>
          </cell>
          <cell r="AB21">
            <v>0</v>
          </cell>
          <cell r="AC21">
            <v>0</v>
          </cell>
          <cell r="AD21">
            <v>0</v>
          </cell>
        </row>
        <row r="22">
          <cell r="B22" t="str">
            <v>FY14-Non-Cash Labor Hours</v>
          </cell>
          <cell r="C22" t="str">
            <v>Non-Cash Labor Hours</v>
          </cell>
          <cell r="D22">
            <v>0</v>
          </cell>
          <cell r="E22">
            <v>0</v>
          </cell>
          <cell r="F22">
            <v>0</v>
          </cell>
          <cell r="G22">
            <v>0</v>
          </cell>
          <cell r="H22">
            <v>0</v>
          </cell>
          <cell r="I22">
            <v>0</v>
          </cell>
          <cell r="J22">
            <v>0</v>
          </cell>
          <cell r="K22">
            <v>0</v>
          </cell>
          <cell r="L22">
            <v>0</v>
          </cell>
          <cell r="M22">
            <v>0</v>
          </cell>
          <cell r="N22">
            <v>0</v>
          </cell>
          <cell r="O22">
            <v>0</v>
          </cell>
          <cell r="P22">
            <v>0</v>
          </cell>
          <cell r="R22" t="str">
            <v>FY14-Non-Cash Labor Hours</v>
          </cell>
          <cell r="S22">
            <v>0</v>
          </cell>
          <cell r="T22">
            <v>0</v>
          </cell>
          <cell r="U22">
            <v>0</v>
          </cell>
          <cell r="V22">
            <v>0</v>
          </cell>
          <cell r="W22">
            <v>0</v>
          </cell>
          <cell r="X22">
            <v>0</v>
          </cell>
          <cell r="Y22">
            <v>0</v>
          </cell>
          <cell r="Z22">
            <v>0</v>
          </cell>
          <cell r="AA22">
            <v>0</v>
          </cell>
          <cell r="AB22">
            <v>0</v>
          </cell>
          <cell r="AC22">
            <v>0</v>
          </cell>
          <cell r="AD22">
            <v>0</v>
          </cell>
        </row>
        <row r="23">
          <cell r="B23" t="str">
            <v>FY14-Total Cost</v>
          </cell>
          <cell r="C23" t="str">
            <v>Total Cost</v>
          </cell>
          <cell r="D23">
            <v>0</v>
          </cell>
          <cell r="E23">
            <v>0</v>
          </cell>
          <cell r="F23">
            <v>0</v>
          </cell>
          <cell r="G23">
            <v>0</v>
          </cell>
          <cell r="H23">
            <v>0</v>
          </cell>
          <cell r="I23">
            <v>0</v>
          </cell>
          <cell r="J23">
            <v>0</v>
          </cell>
          <cell r="K23">
            <v>0</v>
          </cell>
          <cell r="L23">
            <v>0</v>
          </cell>
          <cell r="M23">
            <v>0</v>
          </cell>
          <cell r="N23">
            <v>0</v>
          </cell>
          <cell r="O23">
            <v>0</v>
          </cell>
          <cell r="P23">
            <v>0</v>
          </cell>
          <cell r="R23" t="str">
            <v>FY14-Total Cost</v>
          </cell>
          <cell r="S23">
            <v>0</v>
          </cell>
          <cell r="T23">
            <v>0</v>
          </cell>
          <cell r="U23">
            <v>0</v>
          </cell>
          <cell r="V23">
            <v>0</v>
          </cell>
          <cell r="W23">
            <v>0</v>
          </cell>
          <cell r="X23">
            <v>0</v>
          </cell>
          <cell r="Y23">
            <v>0</v>
          </cell>
          <cell r="Z23">
            <v>0</v>
          </cell>
          <cell r="AA23">
            <v>0</v>
          </cell>
          <cell r="AB23">
            <v>0</v>
          </cell>
          <cell r="AC23">
            <v>0</v>
          </cell>
          <cell r="AD23">
            <v>0</v>
          </cell>
        </row>
        <row r="24">
          <cell r="B24" t="str">
            <v>FY14-Total Hours</v>
          </cell>
          <cell r="C24" t="str">
            <v>Total Hours</v>
          </cell>
          <cell r="D24">
            <v>0</v>
          </cell>
          <cell r="E24">
            <v>0</v>
          </cell>
          <cell r="F24">
            <v>0</v>
          </cell>
          <cell r="G24">
            <v>0</v>
          </cell>
          <cell r="H24">
            <v>0</v>
          </cell>
          <cell r="I24">
            <v>0</v>
          </cell>
          <cell r="J24">
            <v>0</v>
          </cell>
          <cell r="K24">
            <v>0</v>
          </cell>
          <cell r="L24">
            <v>0</v>
          </cell>
          <cell r="M24">
            <v>0</v>
          </cell>
          <cell r="N24">
            <v>0</v>
          </cell>
          <cell r="O24">
            <v>0</v>
          </cell>
          <cell r="P24">
            <v>0</v>
          </cell>
          <cell r="R24" t="str">
            <v>FY14-Total Hours</v>
          </cell>
          <cell r="S24">
            <v>0</v>
          </cell>
          <cell r="T24">
            <v>0</v>
          </cell>
          <cell r="U24">
            <v>0</v>
          </cell>
          <cell r="V24">
            <v>0</v>
          </cell>
          <cell r="W24">
            <v>0</v>
          </cell>
          <cell r="X24">
            <v>0</v>
          </cell>
          <cell r="Y24">
            <v>0</v>
          </cell>
          <cell r="Z24">
            <v>0</v>
          </cell>
          <cell r="AA24">
            <v>0</v>
          </cell>
          <cell r="AB24">
            <v>0</v>
          </cell>
          <cell r="AC24">
            <v>0</v>
          </cell>
          <cell r="AD24">
            <v>0</v>
          </cell>
        </row>
        <row r="26">
          <cell r="B26" t="str">
            <v>Total-Non-Labor Cost</v>
          </cell>
          <cell r="C26" t="str">
            <v>Non-Labor Cost</v>
          </cell>
          <cell r="D26">
            <v>0</v>
          </cell>
          <cell r="E26">
            <v>0</v>
          </cell>
          <cell r="F26">
            <v>0</v>
          </cell>
          <cell r="G26">
            <v>0</v>
          </cell>
          <cell r="H26">
            <v>0</v>
          </cell>
          <cell r="I26">
            <v>0</v>
          </cell>
          <cell r="J26">
            <v>44420</v>
          </cell>
          <cell r="K26">
            <v>0</v>
          </cell>
          <cell r="L26">
            <v>0</v>
          </cell>
          <cell r="M26">
            <v>44420</v>
          </cell>
          <cell r="N26">
            <v>0</v>
          </cell>
          <cell r="O26">
            <v>0</v>
          </cell>
          <cell r="P26">
            <v>88840</v>
          </cell>
        </row>
        <row r="27">
          <cell r="B27" t="str">
            <v>Total-Cash Labor Costs</v>
          </cell>
          <cell r="C27" t="str">
            <v>Cash Labor Costs</v>
          </cell>
          <cell r="D27">
            <v>16080</v>
          </cell>
          <cell r="E27">
            <v>22080</v>
          </cell>
          <cell r="F27">
            <v>19440</v>
          </cell>
          <cell r="G27">
            <v>20160</v>
          </cell>
          <cell r="H27">
            <v>17040</v>
          </cell>
          <cell r="I27">
            <v>33990</v>
          </cell>
          <cell r="J27">
            <v>29080.5</v>
          </cell>
          <cell r="K27">
            <v>51250.2</v>
          </cell>
          <cell r="L27">
            <v>56010</v>
          </cell>
          <cell r="M27">
            <v>65250</v>
          </cell>
          <cell r="N27">
            <v>64410</v>
          </cell>
          <cell r="O27">
            <v>62673.3</v>
          </cell>
          <cell r="P27">
            <v>457464</v>
          </cell>
        </row>
        <row r="28">
          <cell r="B28" t="str">
            <v>Total-Non-Cash Labor Costs</v>
          </cell>
          <cell r="C28" t="str">
            <v>Non-Cash Labor Costs</v>
          </cell>
          <cell r="D28">
            <v>0</v>
          </cell>
          <cell r="E28">
            <v>8000</v>
          </cell>
          <cell r="F28">
            <v>8000</v>
          </cell>
          <cell r="G28">
            <v>21540</v>
          </cell>
          <cell r="H28">
            <v>21060</v>
          </cell>
          <cell r="I28">
            <v>10664</v>
          </cell>
          <cell r="J28">
            <v>41369.600000000006</v>
          </cell>
          <cell r="K28">
            <v>38307.19999999999</v>
          </cell>
          <cell r="L28">
            <v>53854.399999999994</v>
          </cell>
          <cell r="M28">
            <v>62467.200000000004</v>
          </cell>
          <cell r="N28">
            <v>82829.600000000006</v>
          </cell>
          <cell r="O28">
            <v>36445.599999999984</v>
          </cell>
          <cell r="P28">
            <v>384537.59999999998</v>
          </cell>
        </row>
        <row r="29">
          <cell r="B29" t="str">
            <v>Total-Cash Labor Hours</v>
          </cell>
          <cell r="C29" t="str">
            <v>Cash Labor Hours</v>
          </cell>
          <cell r="D29">
            <v>134</v>
          </cell>
          <cell r="E29">
            <v>184</v>
          </cell>
          <cell r="F29">
            <v>162</v>
          </cell>
          <cell r="G29">
            <v>168</v>
          </cell>
          <cell r="H29">
            <v>142</v>
          </cell>
          <cell r="I29">
            <v>325</v>
          </cell>
          <cell r="J29">
            <v>258.45</v>
          </cell>
          <cell r="K29">
            <v>486.78</v>
          </cell>
          <cell r="L29">
            <v>533</v>
          </cell>
          <cell r="M29">
            <v>621</v>
          </cell>
          <cell r="N29">
            <v>613</v>
          </cell>
          <cell r="O29">
            <v>596.87</v>
          </cell>
          <cell r="P29">
            <v>4224</v>
          </cell>
        </row>
        <row r="30">
          <cell r="B30" t="str">
            <v>Total-Non-Cash Labor Hours</v>
          </cell>
          <cell r="C30" t="str">
            <v>Non-Cash Labor Hours</v>
          </cell>
          <cell r="D30">
            <v>0</v>
          </cell>
          <cell r="E30">
            <v>100</v>
          </cell>
          <cell r="F30">
            <v>100</v>
          </cell>
          <cell r="G30">
            <v>269.25</v>
          </cell>
          <cell r="H30">
            <v>263.25</v>
          </cell>
          <cell r="I30">
            <v>133.30000000000001</v>
          </cell>
          <cell r="J30">
            <v>517.12000000000012</v>
          </cell>
          <cell r="K30">
            <v>478.84000000000015</v>
          </cell>
          <cell r="L30">
            <v>673.18000000000006</v>
          </cell>
          <cell r="M30">
            <v>780.83999999999969</v>
          </cell>
          <cell r="N30">
            <v>1035.3699999999999</v>
          </cell>
          <cell r="O30">
            <v>455.57000000000022</v>
          </cell>
          <cell r="P30">
            <v>4807</v>
          </cell>
        </row>
        <row r="31">
          <cell r="B31" t="str">
            <v>Total-Total Cost</v>
          </cell>
          <cell r="C31" t="str">
            <v>Total Cost</v>
          </cell>
          <cell r="D31">
            <v>16080</v>
          </cell>
          <cell r="E31">
            <v>30080</v>
          </cell>
          <cell r="F31">
            <v>27440</v>
          </cell>
          <cell r="G31">
            <v>41700</v>
          </cell>
          <cell r="H31">
            <v>38100</v>
          </cell>
          <cell r="I31">
            <v>44654</v>
          </cell>
          <cell r="J31">
            <v>114870.1</v>
          </cell>
          <cell r="K31">
            <v>89557.4</v>
          </cell>
          <cell r="L31">
            <v>109864.4</v>
          </cell>
          <cell r="M31">
            <v>172137.2</v>
          </cell>
          <cell r="N31">
            <v>147239.6</v>
          </cell>
          <cell r="O31">
            <v>99118.9</v>
          </cell>
          <cell r="P31">
            <v>930841.60000000009</v>
          </cell>
        </row>
        <row r="32">
          <cell r="B32" t="str">
            <v>Total-Total Hours</v>
          </cell>
          <cell r="C32" t="str">
            <v>Total Hours</v>
          </cell>
          <cell r="D32">
            <v>134</v>
          </cell>
          <cell r="E32">
            <v>284</v>
          </cell>
          <cell r="F32">
            <v>262</v>
          </cell>
          <cell r="G32">
            <v>437.25</v>
          </cell>
          <cell r="H32">
            <v>405.25</v>
          </cell>
          <cell r="I32">
            <v>458.3</v>
          </cell>
          <cell r="J32">
            <v>775.57000000000016</v>
          </cell>
          <cell r="K32">
            <v>965.62000000000012</v>
          </cell>
          <cell r="L32">
            <v>1206.18</v>
          </cell>
          <cell r="M32">
            <v>1401.8399999999997</v>
          </cell>
          <cell r="N32">
            <v>1648.37</v>
          </cell>
          <cell r="O32">
            <v>1052.4400000000003</v>
          </cell>
          <cell r="P32">
            <v>9031</v>
          </cell>
        </row>
        <row r="36">
          <cell r="B36" t="str">
            <v>FY12-Univ PBA</v>
          </cell>
          <cell r="C36" t="str">
            <v>Univ PBA</v>
          </cell>
          <cell r="D36">
            <v>0</v>
          </cell>
          <cell r="E36">
            <v>0</v>
          </cell>
          <cell r="F36">
            <v>0</v>
          </cell>
          <cell r="G36">
            <v>0</v>
          </cell>
          <cell r="H36">
            <v>0</v>
          </cell>
          <cell r="I36">
            <v>0</v>
          </cell>
          <cell r="J36">
            <v>0</v>
          </cell>
          <cell r="K36">
            <v>0</v>
          </cell>
          <cell r="L36">
            <v>0</v>
          </cell>
          <cell r="M36">
            <v>0</v>
          </cell>
          <cell r="N36">
            <v>0</v>
          </cell>
          <cell r="O36">
            <v>0</v>
          </cell>
          <cell r="P36">
            <v>0</v>
          </cell>
        </row>
        <row r="37">
          <cell r="B37" t="str">
            <v>FY12-Univ Cash</v>
          </cell>
          <cell r="C37" t="str">
            <v>Univ Cash</v>
          </cell>
          <cell r="G37">
            <v>549240</v>
          </cell>
          <cell r="I37">
            <v>-4800</v>
          </cell>
          <cell r="P37">
            <v>544440</v>
          </cell>
        </row>
        <row r="38">
          <cell r="B38" t="str">
            <v>FY12-CIO PBA</v>
          </cell>
          <cell r="C38" t="str">
            <v>CIO PBA</v>
          </cell>
          <cell r="D38">
            <v>0</v>
          </cell>
          <cell r="E38">
            <v>0</v>
          </cell>
          <cell r="F38">
            <v>0</v>
          </cell>
          <cell r="G38">
            <v>0</v>
          </cell>
          <cell r="H38">
            <v>0</v>
          </cell>
          <cell r="I38">
            <v>0</v>
          </cell>
          <cell r="J38">
            <v>0</v>
          </cell>
          <cell r="K38">
            <v>0</v>
          </cell>
          <cell r="L38">
            <v>0</v>
          </cell>
          <cell r="M38">
            <v>0</v>
          </cell>
          <cell r="N38">
            <v>0</v>
          </cell>
          <cell r="O38">
            <v>0</v>
          </cell>
          <cell r="P38">
            <v>0</v>
          </cell>
        </row>
        <row r="39">
          <cell r="B39" t="str">
            <v>FY12-CIO Cash</v>
          </cell>
          <cell r="C39" t="str">
            <v>CIO Cash</v>
          </cell>
          <cell r="D39">
            <v>0</v>
          </cell>
          <cell r="E39">
            <v>0</v>
          </cell>
          <cell r="F39">
            <v>0</v>
          </cell>
          <cell r="G39">
            <v>0</v>
          </cell>
          <cell r="H39">
            <v>0</v>
          </cell>
          <cell r="I39">
            <v>0</v>
          </cell>
          <cell r="J39">
            <v>0</v>
          </cell>
          <cell r="K39">
            <v>0</v>
          </cell>
          <cell r="L39">
            <v>0</v>
          </cell>
          <cell r="M39">
            <v>0</v>
          </cell>
          <cell r="N39">
            <v>0</v>
          </cell>
          <cell r="O39">
            <v>0</v>
          </cell>
          <cell r="P39">
            <v>0</v>
          </cell>
        </row>
        <row r="40">
          <cell r="B40" t="str">
            <v>FY12-Other Cash</v>
          </cell>
          <cell r="C40" t="str">
            <v>Other Cash</v>
          </cell>
          <cell r="D40">
            <v>0</v>
          </cell>
          <cell r="E40">
            <v>0</v>
          </cell>
          <cell r="F40">
            <v>0</v>
          </cell>
          <cell r="G40">
            <v>0</v>
          </cell>
          <cell r="H40">
            <v>0</v>
          </cell>
          <cell r="I40">
            <v>0</v>
          </cell>
          <cell r="J40">
            <v>0</v>
          </cell>
          <cell r="K40">
            <v>0</v>
          </cell>
          <cell r="L40">
            <v>0</v>
          </cell>
          <cell r="M40">
            <v>0</v>
          </cell>
          <cell r="N40">
            <v>0</v>
          </cell>
          <cell r="O40">
            <v>0</v>
          </cell>
          <cell r="P40">
            <v>0</v>
          </cell>
        </row>
        <row r="41">
          <cell r="B41" t="str">
            <v>FY12-Donated Resources</v>
          </cell>
          <cell r="C41" t="str">
            <v>Donated Resources</v>
          </cell>
          <cell r="D41">
            <v>0</v>
          </cell>
          <cell r="E41">
            <v>8000</v>
          </cell>
          <cell r="F41">
            <v>8000</v>
          </cell>
          <cell r="G41">
            <v>21540</v>
          </cell>
          <cell r="H41">
            <v>21060</v>
          </cell>
          <cell r="I41">
            <v>10664</v>
          </cell>
          <cell r="J41">
            <v>41369.600000000006</v>
          </cell>
          <cell r="K41">
            <v>38307.19999999999</v>
          </cell>
          <cell r="L41">
            <v>53854.399999999994</v>
          </cell>
          <cell r="M41">
            <v>62467.200000000004</v>
          </cell>
          <cell r="N41">
            <v>82829.600000000006</v>
          </cell>
          <cell r="O41">
            <v>36445.599999999984</v>
          </cell>
          <cell r="P41">
            <v>384537.59999999998</v>
          </cell>
        </row>
        <row r="42">
          <cell r="B42" t="str">
            <v>FY12-Other non-Cash</v>
          </cell>
          <cell r="C42" t="str">
            <v>Other non-Cash</v>
          </cell>
          <cell r="D42">
            <v>0</v>
          </cell>
          <cell r="E42">
            <v>0</v>
          </cell>
          <cell r="F42">
            <v>0</v>
          </cell>
          <cell r="G42">
            <v>0</v>
          </cell>
          <cell r="H42">
            <v>0</v>
          </cell>
          <cell r="I42">
            <v>0</v>
          </cell>
          <cell r="J42">
            <v>0</v>
          </cell>
          <cell r="K42">
            <v>0</v>
          </cell>
          <cell r="L42">
            <v>0</v>
          </cell>
          <cell r="M42">
            <v>0</v>
          </cell>
          <cell r="N42">
            <v>0</v>
          </cell>
          <cell r="O42">
            <v>0</v>
          </cell>
          <cell r="P42">
            <v>0</v>
          </cell>
        </row>
        <row r="43">
          <cell r="B43" t="str">
            <v>FY12-Total Cash-Based</v>
          </cell>
          <cell r="C43" t="str">
            <v>Total Cash-Based</v>
          </cell>
          <cell r="D43">
            <v>0</v>
          </cell>
          <cell r="E43">
            <v>0</v>
          </cell>
          <cell r="F43">
            <v>0</v>
          </cell>
          <cell r="G43">
            <v>549240</v>
          </cell>
          <cell r="H43">
            <v>0</v>
          </cell>
          <cell r="I43">
            <v>-4800</v>
          </cell>
          <cell r="J43">
            <v>0</v>
          </cell>
          <cell r="K43">
            <v>0</v>
          </cell>
          <cell r="L43">
            <v>0</v>
          </cell>
          <cell r="M43">
            <v>0</v>
          </cell>
          <cell r="N43">
            <v>0</v>
          </cell>
          <cell r="O43">
            <v>0</v>
          </cell>
          <cell r="P43">
            <v>544440</v>
          </cell>
        </row>
        <row r="44">
          <cell r="B44" t="str">
            <v>FY12-Total non-Cash Based</v>
          </cell>
          <cell r="C44" t="str">
            <v>Total non-Cash Based</v>
          </cell>
          <cell r="D44">
            <v>0</v>
          </cell>
          <cell r="E44">
            <v>8000</v>
          </cell>
          <cell r="F44">
            <v>8000</v>
          </cell>
          <cell r="G44">
            <v>21540</v>
          </cell>
          <cell r="H44">
            <v>21060</v>
          </cell>
          <cell r="I44">
            <v>10664</v>
          </cell>
          <cell r="J44">
            <v>41369.600000000006</v>
          </cell>
          <cell r="K44">
            <v>38307.19999999999</v>
          </cell>
          <cell r="L44">
            <v>53854.399999999994</v>
          </cell>
          <cell r="M44">
            <v>62467.200000000004</v>
          </cell>
          <cell r="N44">
            <v>82829.600000000006</v>
          </cell>
          <cell r="O44">
            <v>36445.599999999984</v>
          </cell>
          <cell r="P44">
            <v>384537.59999999998</v>
          </cell>
        </row>
        <row r="45">
          <cell r="B45" t="str">
            <v>FY12-Grand total</v>
          </cell>
          <cell r="C45" t="str">
            <v>Grand total</v>
          </cell>
          <cell r="D45">
            <v>0</v>
          </cell>
          <cell r="E45">
            <v>8000</v>
          </cell>
          <cell r="F45">
            <v>8000</v>
          </cell>
          <cell r="G45">
            <v>570780</v>
          </cell>
          <cell r="H45">
            <v>21060</v>
          </cell>
          <cell r="I45">
            <v>5864</v>
          </cell>
          <cell r="J45">
            <v>41369.600000000006</v>
          </cell>
          <cell r="K45">
            <v>38307.19999999999</v>
          </cell>
          <cell r="L45">
            <v>53854.399999999994</v>
          </cell>
          <cell r="M45">
            <v>62467.200000000004</v>
          </cell>
          <cell r="N45">
            <v>82829.600000000006</v>
          </cell>
          <cell r="O45">
            <v>36445.599999999984</v>
          </cell>
          <cell r="P45">
            <v>928977.6</v>
          </cell>
        </row>
        <row r="46">
          <cell r="B46" t="str">
            <v>FY13-Univ PBA</v>
          </cell>
          <cell r="C46" t="str">
            <v>Univ PBA</v>
          </cell>
          <cell r="D46">
            <v>0</v>
          </cell>
          <cell r="E46">
            <v>0</v>
          </cell>
          <cell r="F46">
            <v>0</v>
          </cell>
          <cell r="G46">
            <v>0</v>
          </cell>
          <cell r="H46">
            <v>0</v>
          </cell>
          <cell r="I46">
            <v>0</v>
          </cell>
          <cell r="J46">
            <v>0</v>
          </cell>
          <cell r="K46">
            <v>0</v>
          </cell>
          <cell r="L46">
            <v>0</v>
          </cell>
          <cell r="M46">
            <v>0</v>
          </cell>
          <cell r="N46">
            <v>0</v>
          </cell>
          <cell r="O46">
            <v>0</v>
          </cell>
          <cell r="P46">
            <v>0</v>
          </cell>
        </row>
        <row r="47">
          <cell r="B47" t="str">
            <v>FY13-Univ Cash</v>
          </cell>
          <cell r="C47" t="str">
            <v>Univ Cash</v>
          </cell>
          <cell r="D47">
            <v>0</v>
          </cell>
          <cell r="E47">
            <v>0</v>
          </cell>
          <cell r="F47">
            <v>0</v>
          </cell>
          <cell r="G47">
            <v>0</v>
          </cell>
          <cell r="H47">
            <v>0</v>
          </cell>
          <cell r="I47">
            <v>0</v>
          </cell>
          <cell r="J47">
            <v>0</v>
          </cell>
          <cell r="K47">
            <v>0</v>
          </cell>
          <cell r="L47">
            <v>0</v>
          </cell>
          <cell r="M47">
            <v>0</v>
          </cell>
          <cell r="N47">
            <v>0</v>
          </cell>
          <cell r="O47">
            <v>0</v>
          </cell>
          <cell r="P47">
            <v>0</v>
          </cell>
        </row>
        <row r="48">
          <cell r="B48" t="str">
            <v>FY13-CIO PBA</v>
          </cell>
          <cell r="C48" t="str">
            <v>CIO PBA</v>
          </cell>
          <cell r="D48">
            <v>0</v>
          </cell>
          <cell r="E48">
            <v>0</v>
          </cell>
          <cell r="F48">
            <v>0</v>
          </cell>
          <cell r="G48">
            <v>0</v>
          </cell>
          <cell r="H48">
            <v>0</v>
          </cell>
          <cell r="I48">
            <v>0</v>
          </cell>
          <cell r="J48">
            <v>0</v>
          </cell>
          <cell r="K48">
            <v>0</v>
          </cell>
          <cell r="L48">
            <v>0</v>
          </cell>
          <cell r="M48">
            <v>0</v>
          </cell>
          <cell r="N48">
            <v>0</v>
          </cell>
          <cell r="O48">
            <v>0</v>
          </cell>
          <cell r="P48">
            <v>0</v>
          </cell>
        </row>
        <row r="49">
          <cell r="B49" t="str">
            <v>FY13-CIO Cash</v>
          </cell>
          <cell r="C49" t="str">
            <v>CIO Cash</v>
          </cell>
          <cell r="D49">
            <v>0</v>
          </cell>
          <cell r="E49">
            <v>0</v>
          </cell>
          <cell r="F49">
            <v>0</v>
          </cell>
          <cell r="G49">
            <v>0</v>
          </cell>
          <cell r="H49">
            <v>0</v>
          </cell>
          <cell r="I49">
            <v>0</v>
          </cell>
          <cell r="J49">
            <v>0</v>
          </cell>
          <cell r="K49">
            <v>0</v>
          </cell>
          <cell r="L49">
            <v>0</v>
          </cell>
          <cell r="M49">
            <v>0</v>
          </cell>
          <cell r="N49">
            <v>0</v>
          </cell>
          <cell r="O49">
            <v>0</v>
          </cell>
          <cell r="P49">
            <v>0</v>
          </cell>
        </row>
        <row r="50">
          <cell r="B50" t="str">
            <v>FY13-Other Cash</v>
          </cell>
          <cell r="C50" t="str">
            <v>Other Cash</v>
          </cell>
          <cell r="D50">
            <v>0</v>
          </cell>
          <cell r="E50">
            <v>0</v>
          </cell>
          <cell r="F50">
            <v>0</v>
          </cell>
          <cell r="G50">
            <v>0</v>
          </cell>
          <cell r="H50">
            <v>0</v>
          </cell>
          <cell r="I50">
            <v>0</v>
          </cell>
          <cell r="J50">
            <v>0</v>
          </cell>
          <cell r="K50">
            <v>0</v>
          </cell>
          <cell r="L50">
            <v>0</v>
          </cell>
          <cell r="M50">
            <v>0</v>
          </cell>
          <cell r="N50">
            <v>0</v>
          </cell>
          <cell r="O50">
            <v>0</v>
          </cell>
          <cell r="P50">
            <v>0</v>
          </cell>
        </row>
        <row r="51">
          <cell r="B51" t="str">
            <v>FY13-Donated Resources</v>
          </cell>
          <cell r="C51" t="str">
            <v>Donated Resources</v>
          </cell>
          <cell r="D51">
            <v>0</v>
          </cell>
          <cell r="E51">
            <v>0</v>
          </cell>
          <cell r="F51">
            <v>0</v>
          </cell>
          <cell r="G51">
            <v>0</v>
          </cell>
          <cell r="H51">
            <v>0</v>
          </cell>
          <cell r="I51">
            <v>0</v>
          </cell>
          <cell r="J51">
            <v>0</v>
          </cell>
          <cell r="K51">
            <v>0</v>
          </cell>
          <cell r="L51">
            <v>0</v>
          </cell>
          <cell r="M51">
            <v>0</v>
          </cell>
          <cell r="N51">
            <v>0</v>
          </cell>
          <cell r="O51">
            <v>0</v>
          </cell>
          <cell r="P51">
            <v>0</v>
          </cell>
        </row>
        <row r="52">
          <cell r="B52" t="str">
            <v>FY13-Other non-Cash</v>
          </cell>
          <cell r="C52" t="str">
            <v>Other non-Cash</v>
          </cell>
          <cell r="D52">
            <v>0</v>
          </cell>
          <cell r="E52">
            <v>0</v>
          </cell>
          <cell r="F52">
            <v>0</v>
          </cell>
          <cell r="G52">
            <v>0</v>
          </cell>
          <cell r="H52">
            <v>0</v>
          </cell>
          <cell r="I52">
            <v>0</v>
          </cell>
          <cell r="J52">
            <v>0</v>
          </cell>
          <cell r="K52">
            <v>0</v>
          </cell>
          <cell r="L52">
            <v>0</v>
          </cell>
          <cell r="M52">
            <v>0</v>
          </cell>
          <cell r="N52">
            <v>0</v>
          </cell>
          <cell r="O52">
            <v>0</v>
          </cell>
          <cell r="P52">
            <v>0</v>
          </cell>
        </row>
        <row r="53">
          <cell r="B53" t="str">
            <v>FY13-Total Cash-Based</v>
          </cell>
          <cell r="C53" t="str">
            <v>Total Cash-Based</v>
          </cell>
          <cell r="D53">
            <v>0</v>
          </cell>
          <cell r="E53">
            <v>0</v>
          </cell>
          <cell r="F53">
            <v>0</v>
          </cell>
          <cell r="G53">
            <v>0</v>
          </cell>
          <cell r="H53">
            <v>0</v>
          </cell>
          <cell r="I53">
            <v>0</v>
          </cell>
          <cell r="J53">
            <v>0</v>
          </cell>
          <cell r="K53">
            <v>0</v>
          </cell>
          <cell r="L53">
            <v>0</v>
          </cell>
          <cell r="M53">
            <v>0</v>
          </cell>
          <cell r="N53">
            <v>0</v>
          </cell>
          <cell r="O53">
            <v>0</v>
          </cell>
          <cell r="P53">
            <v>0</v>
          </cell>
        </row>
        <row r="54">
          <cell r="B54" t="str">
            <v>FY13-Total non-Cash Based</v>
          </cell>
          <cell r="C54" t="str">
            <v>Total non-Cash Based</v>
          </cell>
          <cell r="D54">
            <v>0</v>
          </cell>
          <cell r="E54">
            <v>0</v>
          </cell>
          <cell r="F54">
            <v>0</v>
          </cell>
          <cell r="G54">
            <v>0</v>
          </cell>
          <cell r="H54">
            <v>0</v>
          </cell>
          <cell r="I54">
            <v>0</v>
          </cell>
          <cell r="J54">
            <v>0</v>
          </cell>
          <cell r="K54">
            <v>0</v>
          </cell>
          <cell r="L54">
            <v>0</v>
          </cell>
          <cell r="M54">
            <v>0</v>
          </cell>
          <cell r="N54">
            <v>0</v>
          </cell>
          <cell r="O54">
            <v>0</v>
          </cell>
          <cell r="P54">
            <v>0</v>
          </cell>
        </row>
        <row r="55">
          <cell r="B55" t="str">
            <v>FY13-Grand total</v>
          </cell>
          <cell r="C55" t="str">
            <v>Grand total</v>
          </cell>
          <cell r="D55">
            <v>0</v>
          </cell>
          <cell r="E55">
            <v>0</v>
          </cell>
          <cell r="F55">
            <v>0</v>
          </cell>
          <cell r="G55">
            <v>0</v>
          </cell>
          <cell r="H55">
            <v>0</v>
          </cell>
          <cell r="I55">
            <v>0</v>
          </cell>
          <cell r="J55">
            <v>0</v>
          </cell>
          <cell r="K55">
            <v>0</v>
          </cell>
          <cell r="L55">
            <v>0</v>
          </cell>
          <cell r="M55">
            <v>0</v>
          </cell>
          <cell r="N55">
            <v>0</v>
          </cell>
          <cell r="O55">
            <v>0</v>
          </cell>
          <cell r="P55">
            <v>0</v>
          </cell>
        </row>
        <row r="56">
          <cell r="B56" t="str">
            <v>FY14-Univ PBA</v>
          </cell>
          <cell r="C56" t="str">
            <v>Univ PBA</v>
          </cell>
          <cell r="D56">
            <v>0</v>
          </cell>
          <cell r="E56">
            <v>0</v>
          </cell>
          <cell r="F56">
            <v>0</v>
          </cell>
          <cell r="G56">
            <v>0</v>
          </cell>
          <cell r="H56">
            <v>0</v>
          </cell>
          <cell r="I56">
            <v>0</v>
          </cell>
          <cell r="J56">
            <v>0</v>
          </cell>
          <cell r="K56">
            <v>0</v>
          </cell>
          <cell r="L56">
            <v>0</v>
          </cell>
          <cell r="M56">
            <v>0</v>
          </cell>
          <cell r="N56">
            <v>0</v>
          </cell>
          <cell r="O56">
            <v>0</v>
          </cell>
          <cell r="P56">
            <v>0</v>
          </cell>
        </row>
        <row r="57">
          <cell r="B57" t="str">
            <v>FY14-Univ Cash</v>
          </cell>
          <cell r="C57" t="str">
            <v>Univ Cash</v>
          </cell>
          <cell r="D57">
            <v>0</v>
          </cell>
          <cell r="E57">
            <v>0</v>
          </cell>
          <cell r="F57">
            <v>0</v>
          </cell>
          <cell r="G57">
            <v>0</v>
          </cell>
          <cell r="H57">
            <v>0</v>
          </cell>
          <cell r="I57">
            <v>0</v>
          </cell>
          <cell r="J57">
            <v>0</v>
          </cell>
          <cell r="K57">
            <v>0</v>
          </cell>
          <cell r="L57">
            <v>0</v>
          </cell>
          <cell r="M57">
            <v>0</v>
          </cell>
          <cell r="N57">
            <v>0</v>
          </cell>
          <cell r="O57">
            <v>0</v>
          </cell>
          <cell r="P57">
            <v>0</v>
          </cell>
        </row>
        <row r="58">
          <cell r="B58" t="str">
            <v>FY14-CIO PBA</v>
          </cell>
          <cell r="C58" t="str">
            <v>CIO PBA</v>
          </cell>
          <cell r="D58">
            <v>0</v>
          </cell>
          <cell r="E58">
            <v>0</v>
          </cell>
          <cell r="F58">
            <v>0</v>
          </cell>
          <cell r="G58">
            <v>0</v>
          </cell>
          <cell r="H58">
            <v>0</v>
          </cell>
          <cell r="I58">
            <v>0</v>
          </cell>
          <cell r="J58">
            <v>0</v>
          </cell>
          <cell r="K58">
            <v>0</v>
          </cell>
          <cell r="L58">
            <v>0</v>
          </cell>
          <cell r="M58">
            <v>0</v>
          </cell>
          <cell r="N58">
            <v>0</v>
          </cell>
          <cell r="O58">
            <v>0</v>
          </cell>
          <cell r="P58">
            <v>0</v>
          </cell>
        </row>
        <row r="59">
          <cell r="B59" t="str">
            <v>FY14-CIO Cash</v>
          </cell>
          <cell r="C59" t="str">
            <v>CIO Cash</v>
          </cell>
          <cell r="D59">
            <v>0</v>
          </cell>
          <cell r="E59">
            <v>0</v>
          </cell>
          <cell r="F59">
            <v>0</v>
          </cell>
          <cell r="G59">
            <v>0</v>
          </cell>
          <cell r="H59">
            <v>0</v>
          </cell>
          <cell r="I59">
            <v>0</v>
          </cell>
          <cell r="J59">
            <v>0</v>
          </cell>
          <cell r="K59">
            <v>0</v>
          </cell>
          <cell r="L59">
            <v>0</v>
          </cell>
          <cell r="M59">
            <v>0</v>
          </cell>
          <cell r="N59">
            <v>0</v>
          </cell>
          <cell r="O59">
            <v>0</v>
          </cell>
          <cell r="P59">
            <v>0</v>
          </cell>
        </row>
        <row r="60">
          <cell r="B60" t="str">
            <v>FY14-Other Cash</v>
          </cell>
          <cell r="C60" t="str">
            <v>Other Cash</v>
          </cell>
          <cell r="D60">
            <v>0</v>
          </cell>
          <cell r="E60">
            <v>0</v>
          </cell>
          <cell r="F60">
            <v>0</v>
          </cell>
          <cell r="G60">
            <v>0</v>
          </cell>
          <cell r="H60">
            <v>0</v>
          </cell>
          <cell r="I60">
            <v>0</v>
          </cell>
          <cell r="J60">
            <v>0</v>
          </cell>
          <cell r="K60">
            <v>0</v>
          </cell>
          <cell r="L60">
            <v>0</v>
          </cell>
          <cell r="M60">
            <v>0</v>
          </cell>
          <cell r="N60">
            <v>0</v>
          </cell>
          <cell r="O60">
            <v>0</v>
          </cell>
          <cell r="P60">
            <v>0</v>
          </cell>
        </row>
        <row r="61">
          <cell r="B61" t="str">
            <v>FY14-Donated Resources</v>
          </cell>
          <cell r="C61" t="str">
            <v>Donated Resources</v>
          </cell>
          <cell r="D61">
            <v>0</v>
          </cell>
          <cell r="E61">
            <v>0</v>
          </cell>
          <cell r="F61">
            <v>0</v>
          </cell>
          <cell r="G61">
            <v>0</v>
          </cell>
          <cell r="H61">
            <v>0</v>
          </cell>
          <cell r="I61">
            <v>0</v>
          </cell>
          <cell r="J61">
            <v>0</v>
          </cell>
          <cell r="K61">
            <v>0</v>
          </cell>
          <cell r="L61">
            <v>0</v>
          </cell>
          <cell r="M61">
            <v>0</v>
          </cell>
          <cell r="N61">
            <v>0</v>
          </cell>
          <cell r="O61">
            <v>0</v>
          </cell>
          <cell r="P61">
            <v>0</v>
          </cell>
        </row>
        <row r="62">
          <cell r="B62" t="str">
            <v>FY14-Other non-Cash</v>
          </cell>
          <cell r="C62" t="str">
            <v>Other non-Cash</v>
          </cell>
          <cell r="D62">
            <v>0</v>
          </cell>
          <cell r="E62">
            <v>0</v>
          </cell>
          <cell r="F62">
            <v>0</v>
          </cell>
          <cell r="G62">
            <v>0</v>
          </cell>
          <cell r="H62">
            <v>0</v>
          </cell>
          <cell r="I62">
            <v>0</v>
          </cell>
          <cell r="J62">
            <v>0</v>
          </cell>
          <cell r="K62">
            <v>0</v>
          </cell>
          <cell r="L62">
            <v>0</v>
          </cell>
          <cell r="M62">
            <v>0</v>
          </cell>
          <cell r="N62">
            <v>0</v>
          </cell>
          <cell r="O62">
            <v>0</v>
          </cell>
          <cell r="P62">
            <v>0</v>
          </cell>
        </row>
        <row r="63">
          <cell r="B63" t="str">
            <v>FY14-Total Cash-Based</v>
          </cell>
          <cell r="C63" t="str">
            <v>Total Cash-Based</v>
          </cell>
          <cell r="D63">
            <v>0</v>
          </cell>
          <cell r="E63">
            <v>0</v>
          </cell>
          <cell r="F63">
            <v>0</v>
          </cell>
          <cell r="G63">
            <v>0</v>
          </cell>
          <cell r="H63">
            <v>0</v>
          </cell>
          <cell r="I63">
            <v>0</v>
          </cell>
          <cell r="J63">
            <v>0</v>
          </cell>
          <cell r="K63">
            <v>0</v>
          </cell>
          <cell r="L63">
            <v>0</v>
          </cell>
          <cell r="M63">
            <v>0</v>
          </cell>
          <cell r="N63">
            <v>0</v>
          </cell>
          <cell r="O63">
            <v>0</v>
          </cell>
          <cell r="P63">
            <v>0</v>
          </cell>
        </row>
        <row r="64">
          <cell r="B64" t="str">
            <v>FY14-Total non-Cash Based</v>
          </cell>
          <cell r="C64" t="str">
            <v>Total non-Cash Based</v>
          </cell>
          <cell r="D64">
            <v>0</v>
          </cell>
          <cell r="E64">
            <v>0</v>
          </cell>
          <cell r="F64">
            <v>0</v>
          </cell>
          <cell r="G64">
            <v>0</v>
          </cell>
          <cell r="H64">
            <v>0</v>
          </cell>
          <cell r="I64">
            <v>0</v>
          </cell>
          <cell r="J64">
            <v>0</v>
          </cell>
          <cell r="K64">
            <v>0</v>
          </cell>
          <cell r="L64">
            <v>0</v>
          </cell>
          <cell r="M64">
            <v>0</v>
          </cell>
          <cell r="N64">
            <v>0</v>
          </cell>
          <cell r="O64">
            <v>0</v>
          </cell>
          <cell r="P64">
            <v>0</v>
          </cell>
        </row>
        <row r="65">
          <cell r="B65" t="str">
            <v>FY14-Grand total</v>
          </cell>
          <cell r="C65" t="str">
            <v>Grand total</v>
          </cell>
          <cell r="D65">
            <v>0</v>
          </cell>
          <cell r="E65">
            <v>0</v>
          </cell>
          <cell r="F65">
            <v>0</v>
          </cell>
          <cell r="G65">
            <v>0</v>
          </cell>
          <cell r="H65">
            <v>0</v>
          </cell>
          <cell r="I65">
            <v>0</v>
          </cell>
          <cell r="J65">
            <v>0</v>
          </cell>
          <cell r="K65">
            <v>0</v>
          </cell>
          <cell r="L65">
            <v>0</v>
          </cell>
          <cell r="M65">
            <v>0</v>
          </cell>
          <cell r="N65">
            <v>0</v>
          </cell>
          <cell r="O65">
            <v>0</v>
          </cell>
          <cell r="P65">
            <v>0</v>
          </cell>
        </row>
        <row r="67">
          <cell r="B67" t="str">
            <v>Total-Univ PBA</v>
          </cell>
          <cell r="C67" t="str">
            <v>Univ PBA</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Total-Univ Cash</v>
          </cell>
          <cell r="C68" t="str">
            <v>Univ Cash</v>
          </cell>
          <cell r="D68">
            <v>0</v>
          </cell>
          <cell r="E68">
            <v>0</v>
          </cell>
          <cell r="F68">
            <v>0</v>
          </cell>
          <cell r="G68">
            <v>549240</v>
          </cell>
          <cell r="H68">
            <v>0</v>
          </cell>
          <cell r="I68">
            <v>-4800</v>
          </cell>
          <cell r="J68">
            <v>0</v>
          </cell>
          <cell r="K68">
            <v>0</v>
          </cell>
          <cell r="L68">
            <v>0</v>
          </cell>
          <cell r="M68">
            <v>0</v>
          </cell>
          <cell r="N68">
            <v>0</v>
          </cell>
          <cell r="O68">
            <v>0</v>
          </cell>
          <cell r="P68">
            <v>544440</v>
          </cell>
        </row>
        <row r="69">
          <cell r="B69" t="str">
            <v>Total-CIO PBA</v>
          </cell>
          <cell r="C69" t="str">
            <v>CIO PBA</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Total-CIO Cash</v>
          </cell>
          <cell r="C70" t="str">
            <v>CIO Cash</v>
          </cell>
          <cell r="D70">
            <v>0</v>
          </cell>
          <cell r="E70">
            <v>0</v>
          </cell>
          <cell r="F70">
            <v>0</v>
          </cell>
          <cell r="G70">
            <v>0</v>
          </cell>
          <cell r="H70">
            <v>0</v>
          </cell>
          <cell r="I70">
            <v>0</v>
          </cell>
          <cell r="J70">
            <v>0</v>
          </cell>
          <cell r="K70">
            <v>0</v>
          </cell>
          <cell r="L70">
            <v>0</v>
          </cell>
          <cell r="M70">
            <v>0</v>
          </cell>
          <cell r="N70">
            <v>0</v>
          </cell>
          <cell r="O70">
            <v>0</v>
          </cell>
          <cell r="P70">
            <v>0</v>
          </cell>
        </row>
        <row r="71">
          <cell r="B71" t="str">
            <v>Total-Other Cash</v>
          </cell>
          <cell r="C71" t="str">
            <v>Other Cash</v>
          </cell>
          <cell r="D71">
            <v>0</v>
          </cell>
          <cell r="E71">
            <v>0</v>
          </cell>
          <cell r="F71">
            <v>0</v>
          </cell>
          <cell r="G71">
            <v>0</v>
          </cell>
          <cell r="H71">
            <v>0</v>
          </cell>
          <cell r="I71">
            <v>0</v>
          </cell>
          <cell r="J71">
            <v>0</v>
          </cell>
          <cell r="K71">
            <v>0</v>
          </cell>
          <cell r="L71">
            <v>0</v>
          </cell>
          <cell r="M71">
            <v>0</v>
          </cell>
          <cell r="N71">
            <v>0</v>
          </cell>
          <cell r="O71">
            <v>0</v>
          </cell>
          <cell r="P71">
            <v>0</v>
          </cell>
        </row>
        <row r="72">
          <cell r="B72" t="str">
            <v>Total-Donated Resources</v>
          </cell>
          <cell r="C72" t="str">
            <v>Donated Resources</v>
          </cell>
          <cell r="D72">
            <v>0</v>
          </cell>
          <cell r="E72">
            <v>8000</v>
          </cell>
          <cell r="F72">
            <v>8000</v>
          </cell>
          <cell r="G72">
            <v>21540</v>
          </cell>
          <cell r="H72">
            <v>21060</v>
          </cell>
          <cell r="I72">
            <v>10664</v>
          </cell>
          <cell r="J72">
            <v>41369.600000000006</v>
          </cell>
          <cell r="K72">
            <v>38307.19999999999</v>
          </cell>
          <cell r="L72">
            <v>53854.399999999994</v>
          </cell>
          <cell r="M72">
            <v>62467.200000000004</v>
          </cell>
          <cell r="N72">
            <v>82829.600000000006</v>
          </cell>
          <cell r="O72">
            <v>36445.599999999984</v>
          </cell>
          <cell r="P72">
            <v>384537.59999999998</v>
          </cell>
        </row>
        <row r="73">
          <cell r="B73" t="str">
            <v>Total-Other non-Cash</v>
          </cell>
          <cell r="C73" t="str">
            <v>Other non-Cash</v>
          </cell>
          <cell r="D73">
            <v>0</v>
          </cell>
          <cell r="E73">
            <v>0</v>
          </cell>
          <cell r="F73">
            <v>0</v>
          </cell>
          <cell r="G73">
            <v>0</v>
          </cell>
          <cell r="H73">
            <v>0</v>
          </cell>
          <cell r="I73">
            <v>0</v>
          </cell>
          <cell r="J73">
            <v>0</v>
          </cell>
          <cell r="K73">
            <v>0</v>
          </cell>
          <cell r="L73">
            <v>0</v>
          </cell>
          <cell r="M73">
            <v>0</v>
          </cell>
          <cell r="N73">
            <v>0</v>
          </cell>
          <cell r="O73">
            <v>0</v>
          </cell>
          <cell r="P73">
            <v>0</v>
          </cell>
        </row>
        <row r="74">
          <cell r="B74" t="str">
            <v>Total-Total Cash-Based</v>
          </cell>
          <cell r="C74" t="str">
            <v>Total Cash-Based</v>
          </cell>
          <cell r="D74">
            <v>0</v>
          </cell>
          <cell r="E74">
            <v>0</v>
          </cell>
          <cell r="F74">
            <v>0</v>
          </cell>
          <cell r="G74">
            <v>549240</v>
          </cell>
          <cell r="H74">
            <v>0</v>
          </cell>
          <cell r="I74">
            <v>-4800</v>
          </cell>
          <cell r="J74">
            <v>0</v>
          </cell>
          <cell r="K74">
            <v>0</v>
          </cell>
          <cell r="L74">
            <v>0</v>
          </cell>
          <cell r="M74">
            <v>0</v>
          </cell>
          <cell r="N74">
            <v>0</v>
          </cell>
          <cell r="O74">
            <v>0</v>
          </cell>
          <cell r="P74">
            <v>544440</v>
          </cell>
        </row>
        <row r="75">
          <cell r="B75" t="str">
            <v>Total-Total non-Cash Based</v>
          </cell>
          <cell r="C75" t="str">
            <v>Total non-Cash Based</v>
          </cell>
          <cell r="D75">
            <v>0</v>
          </cell>
          <cell r="E75">
            <v>8000</v>
          </cell>
          <cell r="F75">
            <v>8000</v>
          </cell>
          <cell r="G75">
            <v>21540</v>
          </cell>
          <cell r="H75">
            <v>21060</v>
          </cell>
          <cell r="I75">
            <v>10664</v>
          </cell>
          <cell r="J75">
            <v>41369.600000000006</v>
          </cell>
          <cell r="K75">
            <v>38307.19999999999</v>
          </cell>
          <cell r="L75">
            <v>53854.399999999994</v>
          </cell>
          <cell r="M75">
            <v>62467.200000000004</v>
          </cell>
          <cell r="N75">
            <v>82829.600000000006</v>
          </cell>
          <cell r="O75">
            <v>36445.599999999984</v>
          </cell>
          <cell r="P75">
            <v>384537.59999999998</v>
          </cell>
        </row>
        <row r="76">
          <cell r="B76" t="str">
            <v>Total-Grand total</v>
          </cell>
          <cell r="C76" t="str">
            <v>Grand total</v>
          </cell>
          <cell r="D76">
            <v>0</v>
          </cell>
          <cell r="E76">
            <v>8000</v>
          </cell>
          <cell r="F76">
            <v>8000</v>
          </cell>
          <cell r="G76">
            <v>570780</v>
          </cell>
          <cell r="H76">
            <v>21060</v>
          </cell>
          <cell r="I76">
            <v>5864</v>
          </cell>
          <cell r="J76">
            <v>41369.600000000006</v>
          </cell>
          <cell r="K76">
            <v>38307.19999999999</v>
          </cell>
          <cell r="L76">
            <v>53854.399999999994</v>
          </cell>
          <cell r="M76">
            <v>62467.200000000004</v>
          </cell>
          <cell r="N76">
            <v>82829.600000000006</v>
          </cell>
          <cell r="O76">
            <v>36445.599999999984</v>
          </cell>
          <cell r="P76">
            <v>928977.6</v>
          </cell>
        </row>
      </sheetData>
      <sheetData sheetId="16"/>
      <sheetData sheetId="17"/>
      <sheetData sheetId="18">
        <row r="2">
          <cell r="F2">
            <v>7</v>
          </cell>
          <cell r="G2">
            <v>12</v>
          </cell>
          <cell r="H2">
            <v>6</v>
          </cell>
        </row>
        <row r="5">
          <cell r="F5">
            <v>40908</v>
          </cell>
          <cell r="I5" t="str">
            <v>FY12</v>
          </cell>
        </row>
        <row r="11">
          <cell r="F11" t="str">
            <v>FY12-Non-Labor Cost</v>
          </cell>
        </row>
        <row r="12">
          <cell r="F12" t="str">
            <v>FY12-Cash Labor Costs</v>
          </cell>
        </row>
        <row r="13">
          <cell r="F13" t="str">
            <v>FY12-Non-Cash Labor Costs</v>
          </cell>
        </row>
        <row r="14">
          <cell r="F14" t="str">
            <v>FY12-Cash Labor Hours</v>
          </cell>
        </row>
        <row r="15">
          <cell r="F15" t="str">
            <v>FY12-Non-Cash Labor Hours</v>
          </cell>
        </row>
        <row r="23">
          <cell r="F23" t="str">
            <v>FY12-Total Cash-Based</v>
          </cell>
        </row>
        <row r="24">
          <cell r="F24" t="str">
            <v>FY12-Total non-Cash Based</v>
          </cell>
        </row>
      </sheetData>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nding Summary"/>
      <sheetName val="GL FY13"/>
      <sheetName val=" Costs Detail"/>
      <sheetName val="GL FY14"/>
      <sheetName val="GL FY15"/>
      <sheetName val="MS Project Data - Forecast"/>
      <sheetName val="Labor Hours-FY13"/>
      <sheetName val="Labor Hours-FY14"/>
      <sheetName val="Labor Hours-FY15"/>
      <sheetName val="Budget"/>
      <sheetName val="Planned"/>
      <sheetName val="Ops Support"/>
      <sheetName val="Definitions "/>
      <sheetName val="Reference"/>
      <sheetName val="Labor Forecast"/>
      <sheetName val="Consultant"/>
      <sheetName val="Severance-FY13"/>
      <sheetName val="Summary Forecast"/>
      <sheetName val="Contingency Request"/>
    </sheetNames>
    <sheetDataSet>
      <sheetData sheetId="0" refreshError="1"/>
      <sheetData sheetId="1">
        <row r="8">
          <cell r="G8">
            <v>8311992</v>
          </cell>
        </row>
      </sheetData>
      <sheetData sheetId="2">
        <row r="4">
          <cell r="B4" t="str">
            <v>60040</v>
          </cell>
        </row>
      </sheetData>
      <sheetData sheetId="3" refreshError="1"/>
      <sheetData sheetId="4">
        <row r="4">
          <cell r="B4" t="str">
            <v>60040</v>
          </cell>
        </row>
      </sheetData>
      <sheetData sheetId="5">
        <row r="4">
          <cell r="B4" t="str">
            <v>60040</v>
          </cell>
        </row>
      </sheetData>
      <sheetData sheetId="6" refreshError="1"/>
      <sheetData sheetId="7">
        <row r="88">
          <cell r="C88">
            <v>30280</v>
          </cell>
        </row>
      </sheetData>
      <sheetData sheetId="8">
        <row r="90">
          <cell r="C90">
            <v>130340</v>
          </cell>
        </row>
      </sheetData>
      <sheetData sheetId="9">
        <row r="11">
          <cell r="O11">
            <v>0</v>
          </cell>
        </row>
      </sheetData>
      <sheetData sheetId="10">
        <row r="20">
          <cell r="B20">
            <v>1000000</v>
          </cell>
        </row>
      </sheetData>
      <sheetData sheetId="11">
        <row r="4">
          <cell r="B4" t="str">
            <v>FY13-Non-Labor Cost</v>
          </cell>
          <cell r="C4" t="str">
            <v>Non-Labor Cost</v>
          </cell>
          <cell r="D4">
            <v>238780.25</v>
          </cell>
          <cell r="E4">
            <v>238780.25</v>
          </cell>
          <cell r="F4">
            <v>238780.25</v>
          </cell>
          <cell r="G4">
            <v>238780.25</v>
          </cell>
          <cell r="H4">
            <v>238780.25</v>
          </cell>
          <cell r="I4">
            <v>238780.25</v>
          </cell>
          <cell r="J4">
            <v>238780.25</v>
          </cell>
          <cell r="K4">
            <v>238780.25</v>
          </cell>
          <cell r="L4">
            <v>238780.25</v>
          </cell>
          <cell r="M4">
            <v>238780.25</v>
          </cell>
          <cell r="N4">
            <v>238780.25</v>
          </cell>
          <cell r="O4">
            <v>238780.25</v>
          </cell>
          <cell r="P4">
            <v>2865363</v>
          </cell>
          <cell r="R4" t="str">
            <v>FY13-Non-Labor Cost</v>
          </cell>
          <cell r="S4">
            <v>238780.25</v>
          </cell>
          <cell r="T4">
            <v>477560.5</v>
          </cell>
          <cell r="U4">
            <v>716340.75</v>
          </cell>
          <cell r="V4">
            <v>955121</v>
          </cell>
          <cell r="W4">
            <v>1193901.25</v>
          </cell>
          <cell r="X4">
            <v>1432681.5</v>
          </cell>
          <cell r="Y4">
            <v>1671461.75</v>
          </cell>
          <cell r="Z4">
            <v>1910242</v>
          </cell>
          <cell r="AA4">
            <v>2149022.25</v>
          </cell>
          <cell r="AB4">
            <v>2387802.5</v>
          </cell>
          <cell r="AC4">
            <v>2626582.75</v>
          </cell>
          <cell r="AD4">
            <v>2865363</v>
          </cell>
        </row>
        <row r="5">
          <cell r="B5" t="str">
            <v>FY13-Cash Labor Costs</v>
          </cell>
          <cell r="C5" t="str">
            <v>Cash Labor Costs</v>
          </cell>
          <cell r="D5">
            <v>453885.75</v>
          </cell>
          <cell r="E5">
            <v>453885.75</v>
          </cell>
          <cell r="F5">
            <v>453885.75</v>
          </cell>
          <cell r="G5">
            <v>453885.75</v>
          </cell>
          <cell r="H5">
            <v>453885.75</v>
          </cell>
          <cell r="I5">
            <v>453885.75</v>
          </cell>
          <cell r="J5">
            <v>453885.75</v>
          </cell>
          <cell r="K5">
            <v>453885.75</v>
          </cell>
          <cell r="L5">
            <v>453885.75</v>
          </cell>
          <cell r="M5">
            <v>453885.75</v>
          </cell>
          <cell r="N5">
            <v>453885.75</v>
          </cell>
          <cell r="O5">
            <v>453885.75</v>
          </cell>
          <cell r="P5">
            <v>5446629</v>
          </cell>
          <cell r="R5" t="str">
            <v>FY13-Cash Labor Costs</v>
          </cell>
          <cell r="S5">
            <v>453885.75</v>
          </cell>
          <cell r="T5">
            <v>907771.5</v>
          </cell>
          <cell r="U5">
            <v>1361657.25</v>
          </cell>
          <cell r="V5">
            <v>1815543</v>
          </cell>
          <cell r="W5">
            <v>2269428.75</v>
          </cell>
          <cell r="X5">
            <v>2723314.5</v>
          </cell>
          <cell r="Y5">
            <v>3177200.25</v>
          </cell>
          <cell r="Z5">
            <v>3631086</v>
          </cell>
          <cell r="AA5">
            <v>4084971.75</v>
          </cell>
          <cell r="AB5">
            <v>4538857.5</v>
          </cell>
          <cell r="AC5">
            <v>4992743.25</v>
          </cell>
          <cell r="AD5">
            <v>5446629</v>
          </cell>
        </row>
        <row r="6">
          <cell r="B6" t="str">
            <v>FY13-Non-Cash Labor Costs</v>
          </cell>
          <cell r="C6" t="str">
            <v>Non-Cash Labor Costs</v>
          </cell>
          <cell r="D6">
            <v>83333.333333333328</v>
          </cell>
          <cell r="E6">
            <v>83333.333333333328</v>
          </cell>
          <cell r="F6">
            <v>83333.333333333328</v>
          </cell>
          <cell r="G6">
            <v>83333.333333333328</v>
          </cell>
          <cell r="H6">
            <v>83333.333333333328</v>
          </cell>
          <cell r="I6">
            <v>83333.333333333328</v>
          </cell>
          <cell r="J6">
            <v>83333.333333333328</v>
          </cell>
          <cell r="K6">
            <v>83333.333333333328</v>
          </cell>
          <cell r="L6">
            <v>83333.333333333328</v>
          </cell>
          <cell r="M6">
            <v>83333.333333333328</v>
          </cell>
          <cell r="N6">
            <v>83333.333333333328</v>
          </cell>
          <cell r="O6">
            <v>83333.333333333328</v>
          </cell>
          <cell r="P6">
            <v>1000000.0000000001</v>
          </cell>
          <cell r="R6" t="str">
            <v>FY13-Non-Cash Labor Costs</v>
          </cell>
          <cell r="S6">
            <v>83333.333333333328</v>
          </cell>
          <cell r="T6">
            <v>166666.66666666666</v>
          </cell>
          <cell r="U6">
            <v>250000</v>
          </cell>
          <cell r="V6">
            <v>333333.33333333331</v>
          </cell>
          <cell r="W6">
            <v>416666.66666666663</v>
          </cell>
          <cell r="X6">
            <v>499999.99999999994</v>
          </cell>
          <cell r="Y6">
            <v>583333.33333333326</v>
          </cell>
          <cell r="Z6">
            <v>666666.66666666663</v>
          </cell>
          <cell r="AA6">
            <v>750000</v>
          </cell>
          <cell r="AB6">
            <v>833333.33333333337</v>
          </cell>
          <cell r="AC6">
            <v>916666.66666666674</v>
          </cell>
          <cell r="AD6">
            <v>1000000.0000000001</v>
          </cell>
        </row>
        <row r="7">
          <cell r="B7" t="str">
            <v>FY13-Cash Labor Hours</v>
          </cell>
          <cell r="C7" t="str">
            <v>Cash Labor Hours</v>
          </cell>
          <cell r="D7">
            <v>5752</v>
          </cell>
          <cell r="E7">
            <v>5752</v>
          </cell>
          <cell r="F7">
            <v>5752</v>
          </cell>
          <cell r="G7">
            <v>5752</v>
          </cell>
          <cell r="H7">
            <v>5752</v>
          </cell>
          <cell r="I7">
            <v>5752</v>
          </cell>
          <cell r="J7">
            <v>5752</v>
          </cell>
          <cell r="K7">
            <v>5752</v>
          </cell>
          <cell r="L7">
            <v>5752</v>
          </cell>
          <cell r="M7">
            <v>5752</v>
          </cell>
          <cell r="N7">
            <v>5752</v>
          </cell>
          <cell r="O7">
            <v>5752</v>
          </cell>
          <cell r="P7">
            <v>69024</v>
          </cell>
          <cell r="R7" t="str">
            <v>FY13-Cash Labor Hours</v>
          </cell>
          <cell r="S7">
            <v>5752</v>
          </cell>
          <cell r="T7">
            <v>11504</v>
          </cell>
          <cell r="U7">
            <v>17256</v>
          </cell>
          <cell r="V7">
            <v>23008</v>
          </cell>
          <cell r="W7">
            <v>28760</v>
          </cell>
          <cell r="X7">
            <v>34512</v>
          </cell>
          <cell r="Y7">
            <v>40264</v>
          </cell>
          <cell r="Z7">
            <v>46016</v>
          </cell>
          <cell r="AA7">
            <v>51768</v>
          </cell>
          <cell r="AB7">
            <v>57520</v>
          </cell>
          <cell r="AC7">
            <v>63272</v>
          </cell>
          <cell r="AD7">
            <v>69024</v>
          </cell>
        </row>
        <row r="8">
          <cell r="B8" t="str">
            <v>FY13-Non-Cash Labor Hours</v>
          </cell>
          <cell r="C8" t="str">
            <v>Non-Cash Labor Hours</v>
          </cell>
          <cell r="D8">
            <v>3434.1666666666665</v>
          </cell>
          <cell r="E8">
            <v>3434.1666666666665</v>
          </cell>
          <cell r="F8">
            <v>3434.1666666666665</v>
          </cell>
          <cell r="G8">
            <v>3434.1666666666665</v>
          </cell>
          <cell r="H8">
            <v>3434.1666666666665</v>
          </cell>
          <cell r="I8">
            <v>3434.1666666666665</v>
          </cell>
          <cell r="J8">
            <v>3434.1666666666665</v>
          </cell>
          <cell r="K8">
            <v>3434.1666666666665</v>
          </cell>
          <cell r="L8">
            <v>3434.1666666666665</v>
          </cell>
          <cell r="M8">
            <v>3434.1666666666665</v>
          </cell>
          <cell r="N8">
            <v>3434.1666666666665</v>
          </cell>
          <cell r="O8">
            <v>3434.1666666666665</v>
          </cell>
          <cell r="P8">
            <v>41210</v>
          </cell>
          <cell r="R8" t="str">
            <v>FY13-Non-Cash Labor Hours</v>
          </cell>
          <cell r="S8">
            <v>3434.1666666666665</v>
          </cell>
          <cell r="T8">
            <v>6868.333333333333</v>
          </cell>
          <cell r="U8">
            <v>10302.5</v>
          </cell>
          <cell r="V8">
            <v>13736.666666666666</v>
          </cell>
          <cell r="W8">
            <v>17170.833333333332</v>
          </cell>
          <cell r="X8">
            <v>20605</v>
          </cell>
          <cell r="Y8">
            <v>24039.166666666668</v>
          </cell>
          <cell r="Z8">
            <v>27473.333333333336</v>
          </cell>
          <cell r="AA8">
            <v>30907.500000000004</v>
          </cell>
          <cell r="AB8">
            <v>34341.666666666672</v>
          </cell>
          <cell r="AC8">
            <v>37775.833333333336</v>
          </cell>
          <cell r="AD8">
            <v>41210</v>
          </cell>
        </row>
        <row r="9">
          <cell r="B9" t="str">
            <v>FY13-Total Cost</v>
          </cell>
          <cell r="C9" t="str">
            <v>Total Cost</v>
          </cell>
          <cell r="D9">
            <v>775999.33333333337</v>
          </cell>
          <cell r="E9">
            <v>775999.33333333337</v>
          </cell>
          <cell r="F9">
            <v>775999.33333333337</v>
          </cell>
          <cell r="G9">
            <v>775999.33333333337</v>
          </cell>
          <cell r="H9">
            <v>775999.33333333337</v>
          </cell>
          <cell r="I9">
            <v>775999.33333333337</v>
          </cell>
          <cell r="J9">
            <v>775999.33333333337</v>
          </cell>
          <cell r="K9">
            <v>775999.33333333337</v>
          </cell>
          <cell r="L9">
            <v>775999.33333333337</v>
          </cell>
          <cell r="M9">
            <v>775999.33333333337</v>
          </cell>
          <cell r="N9">
            <v>775999.33333333337</v>
          </cell>
          <cell r="O9">
            <v>775999.33333333337</v>
          </cell>
          <cell r="P9">
            <v>9311992</v>
          </cell>
          <cell r="R9" t="str">
            <v>FY13-Total Cost</v>
          </cell>
          <cell r="S9">
            <v>775999.33333333337</v>
          </cell>
          <cell r="T9">
            <v>1551998.6666666667</v>
          </cell>
          <cell r="U9">
            <v>2327998</v>
          </cell>
          <cell r="V9">
            <v>3103997.3333333335</v>
          </cell>
          <cell r="W9">
            <v>3879996.6666666665</v>
          </cell>
          <cell r="X9">
            <v>4655996</v>
          </cell>
          <cell r="Y9">
            <v>5431995.333333333</v>
          </cell>
          <cell r="Z9">
            <v>6207994.666666667</v>
          </cell>
          <cell r="AA9">
            <v>6983994</v>
          </cell>
          <cell r="AB9">
            <v>7759993.333333333</v>
          </cell>
          <cell r="AC9">
            <v>8535992.666666666</v>
          </cell>
          <cell r="AD9">
            <v>9311992</v>
          </cell>
        </row>
        <row r="10">
          <cell r="B10" t="str">
            <v>FY13-Total Hours</v>
          </cell>
          <cell r="C10" t="str">
            <v>Total Hours</v>
          </cell>
          <cell r="D10">
            <v>9186.1666666666661</v>
          </cell>
          <cell r="E10">
            <v>9186.1666666666661</v>
          </cell>
          <cell r="F10">
            <v>9186.1666666666661</v>
          </cell>
          <cell r="G10">
            <v>9186.1666666666661</v>
          </cell>
          <cell r="H10">
            <v>9186.1666666666661</v>
          </cell>
          <cell r="I10">
            <v>9186.1666666666661</v>
          </cell>
          <cell r="J10">
            <v>9186.1666666666661</v>
          </cell>
          <cell r="K10">
            <v>9186.1666666666661</v>
          </cell>
          <cell r="L10">
            <v>9186.1666666666661</v>
          </cell>
          <cell r="M10">
            <v>9186.1666666666661</v>
          </cell>
          <cell r="N10">
            <v>9186.1666666666661</v>
          </cell>
          <cell r="O10">
            <v>9186.1666666666661</v>
          </cell>
          <cell r="P10">
            <v>110234.00000000001</v>
          </cell>
          <cell r="R10" t="str">
            <v>FY13-Total Hours</v>
          </cell>
          <cell r="S10">
            <v>9186.1666666666661</v>
          </cell>
          <cell r="T10">
            <v>18372.333333333332</v>
          </cell>
          <cell r="U10">
            <v>27558.5</v>
          </cell>
          <cell r="V10">
            <v>36744.666666666664</v>
          </cell>
          <cell r="W10">
            <v>45930.833333333328</v>
          </cell>
          <cell r="X10">
            <v>55117</v>
          </cell>
          <cell r="Y10">
            <v>64303.166666666672</v>
          </cell>
          <cell r="Z10">
            <v>73489.333333333343</v>
          </cell>
          <cell r="AA10">
            <v>82675.5</v>
          </cell>
          <cell r="AB10">
            <v>91861.666666666672</v>
          </cell>
          <cell r="AC10">
            <v>101047.83333333334</v>
          </cell>
          <cell r="AD10">
            <v>110234</v>
          </cell>
        </row>
        <row r="11">
          <cell r="B11" t="str">
            <v>FY14-Non-Labor Cost</v>
          </cell>
          <cell r="C11" t="str">
            <v>Non-Labor Cost</v>
          </cell>
          <cell r="D11">
            <v>153118.58333333334</v>
          </cell>
          <cell r="E11">
            <v>153118.58333333334</v>
          </cell>
          <cell r="F11">
            <v>153118.58333333334</v>
          </cell>
          <cell r="G11">
            <v>153118.58333333334</v>
          </cell>
          <cell r="H11">
            <v>153118.58333333334</v>
          </cell>
          <cell r="I11">
            <v>153118.58333333334</v>
          </cell>
          <cell r="J11">
            <v>153118.58333333334</v>
          </cell>
          <cell r="K11">
            <v>153118.58333333334</v>
          </cell>
          <cell r="L11">
            <v>153118.58333333334</v>
          </cell>
          <cell r="M11">
            <v>153118.58333333334</v>
          </cell>
          <cell r="N11">
            <v>153118.58333333334</v>
          </cell>
          <cell r="O11">
            <v>153118.58333333334</v>
          </cell>
          <cell r="P11">
            <v>1837422.9999999998</v>
          </cell>
          <cell r="R11" t="str">
            <v>FY14-Non-Labor Cost</v>
          </cell>
          <cell r="S11">
            <v>153118.58333333334</v>
          </cell>
          <cell r="T11">
            <v>306237.16666666669</v>
          </cell>
          <cell r="U11">
            <v>459355.75</v>
          </cell>
          <cell r="V11">
            <v>612474.33333333337</v>
          </cell>
          <cell r="W11">
            <v>765592.91666666674</v>
          </cell>
          <cell r="X11">
            <v>918711.50000000012</v>
          </cell>
          <cell r="Y11">
            <v>1071830.0833333335</v>
          </cell>
          <cell r="Z11">
            <v>1224948.6666666667</v>
          </cell>
          <cell r="AA11">
            <v>1378067.25</v>
          </cell>
          <cell r="AB11">
            <v>1531185.8333333333</v>
          </cell>
          <cell r="AC11">
            <v>1684304.4166666665</v>
          </cell>
          <cell r="AD11">
            <v>1837422.9999999998</v>
          </cell>
        </row>
        <row r="12">
          <cell r="B12" t="str">
            <v>FY14-Cash Labor Costs</v>
          </cell>
          <cell r="C12" t="str">
            <v>Cash Labor Costs</v>
          </cell>
          <cell r="D12">
            <v>695882.08333333337</v>
          </cell>
          <cell r="E12">
            <v>695882.08333333337</v>
          </cell>
          <cell r="F12">
            <v>695882.08333333337</v>
          </cell>
          <cell r="G12">
            <v>695882.08333333337</v>
          </cell>
          <cell r="H12">
            <v>695882.08333333337</v>
          </cell>
          <cell r="I12">
            <v>695882.08333333337</v>
          </cell>
          <cell r="J12">
            <v>695882.08333333337</v>
          </cell>
          <cell r="K12">
            <v>695882.08333333337</v>
          </cell>
          <cell r="L12">
            <v>695882.08333333337</v>
          </cell>
          <cell r="M12">
            <v>695882.08333333337</v>
          </cell>
          <cell r="N12">
            <v>695882.08333333337</v>
          </cell>
          <cell r="O12">
            <v>695882.08333333337</v>
          </cell>
          <cell r="P12">
            <v>8350584.9999999991</v>
          </cell>
          <cell r="R12" t="str">
            <v>FY14-Cash Labor Costs</v>
          </cell>
          <cell r="S12">
            <v>695882.08333333337</v>
          </cell>
          <cell r="T12">
            <v>1391764.1666666667</v>
          </cell>
          <cell r="U12">
            <v>2087646.25</v>
          </cell>
          <cell r="V12">
            <v>2783528.3333333335</v>
          </cell>
          <cell r="W12">
            <v>3479410.416666667</v>
          </cell>
          <cell r="X12">
            <v>4175292.5000000005</v>
          </cell>
          <cell r="Y12">
            <v>4871174.583333334</v>
          </cell>
          <cell r="Z12">
            <v>5567056.666666667</v>
          </cell>
          <cell r="AA12">
            <v>6262938.75</v>
          </cell>
          <cell r="AB12">
            <v>6958820.833333333</v>
          </cell>
          <cell r="AC12">
            <v>7654702.916666666</v>
          </cell>
          <cell r="AD12">
            <v>8350584.9999999991</v>
          </cell>
        </row>
        <row r="13">
          <cell r="B13" t="str">
            <v>FY14-Non-Cash Labor Costs</v>
          </cell>
          <cell r="C13" t="str">
            <v>Non-Cash Labor Costs</v>
          </cell>
          <cell r="D13">
            <v>250000</v>
          </cell>
          <cell r="E13">
            <v>250000</v>
          </cell>
          <cell r="F13">
            <v>250000</v>
          </cell>
          <cell r="G13">
            <v>250000</v>
          </cell>
          <cell r="H13">
            <v>250000</v>
          </cell>
          <cell r="I13">
            <v>250000</v>
          </cell>
          <cell r="J13">
            <v>250000</v>
          </cell>
          <cell r="K13">
            <v>250000</v>
          </cell>
          <cell r="L13">
            <v>250000</v>
          </cell>
          <cell r="M13">
            <v>250000</v>
          </cell>
          <cell r="N13">
            <v>250000</v>
          </cell>
          <cell r="O13">
            <v>250000</v>
          </cell>
          <cell r="P13">
            <v>3000000</v>
          </cell>
          <cell r="R13" t="str">
            <v>FY14-Non-Cash Labor Costs</v>
          </cell>
          <cell r="S13">
            <v>250000</v>
          </cell>
          <cell r="T13">
            <v>500000</v>
          </cell>
          <cell r="U13">
            <v>750000</v>
          </cell>
          <cell r="V13">
            <v>1000000</v>
          </cell>
          <cell r="W13">
            <v>1250000</v>
          </cell>
          <cell r="X13">
            <v>1500000</v>
          </cell>
          <cell r="Y13">
            <v>1750000</v>
          </cell>
          <cell r="Z13">
            <v>2000000</v>
          </cell>
          <cell r="AA13">
            <v>2250000</v>
          </cell>
          <cell r="AB13">
            <v>2500000</v>
          </cell>
          <cell r="AC13">
            <v>2750000</v>
          </cell>
          <cell r="AD13">
            <v>3000000</v>
          </cell>
        </row>
        <row r="14">
          <cell r="B14" t="str">
            <v>FY14-Cash Labor Hours</v>
          </cell>
          <cell r="C14" t="str">
            <v>Cash Labor Hours</v>
          </cell>
          <cell r="D14">
            <v>4635.583333333333</v>
          </cell>
          <cell r="E14">
            <v>4635.583333333333</v>
          </cell>
          <cell r="F14">
            <v>4635.583333333333</v>
          </cell>
          <cell r="G14">
            <v>4635.583333333333</v>
          </cell>
          <cell r="H14">
            <v>4635.583333333333</v>
          </cell>
          <cell r="I14">
            <v>4635.583333333333</v>
          </cell>
          <cell r="J14">
            <v>4635.583333333333</v>
          </cell>
          <cell r="K14">
            <v>4635.583333333333</v>
          </cell>
          <cell r="L14">
            <v>4635.583333333333</v>
          </cell>
          <cell r="M14">
            <v>4635.583333333333</v>
          </cell>
          <cell r="N14">
            <v>4635.583333333333</v>
          </cell>
          <cell r="O14">
            <v>4635.583333333333</v>
          </cell>
          <cell r="P14">
            <v>55627.000000000007</v>
          </cell>
          <cell r="R14" t="str">
            <v>FY14-Cash Labor Hours</v>
          </cell>
          <cell r="S14">
            <v>4635.583333333333</v>
          </cell>
          <cell r="T14">
            <v>9271.1666666666661</v>
          </cell>
          <cell r="U14">
            <v>13906.75</v>
          </cell>
          <cell r="V14">
            <v>18542.333333333332</v>
          </cell>
          <cell r="W14">
            <v>23177.916666666664</v>
          </cell>
          <cell r="X14">
            <v>27813.499999999996</v>
          </cell>
          <cell r="Y14">
            <v>32449.083333333328</v>
          </cell>
          <cell r="Z14">
            <v>37084.666666666664</v>
          </cell>
          <cell r="AA14">
            <v>41720.25</v>
          </cell>
          <cell r="AB14">
            <v>46355.833333333336</v>
          </cell>
          <cell r="AC14">
            <v>50991.416666666672</v>
          </cell>
          <cell r="AD14">
            <v>55627.000000000007</v>
          </cell>
        </row>
        <row r="15">
          <cell r="B15" t="str">
            <v>FY14-Non-Cash Labor Hours</v>
          </cell>
          <cell r="C15" t="str">
            <v>Non-Cash Labor Hours</v>
          </cell>
          <cell r="D15">
            <v>2905.9166666666665</v>
          </cell>
          <cell r="E15">
            <v>2905.9166666666665</v>
          </cell>
          <cell r="F15">
            <v>2905.9166666666665</v>
          </cell>
          <cell r="G15">
            <v>2905.9166666666665</v>
          </cell>
          <cell r="H15">
            <v>2905.9166666666665</v>
          </cell>
          <cell r="I15">
            <v>2905.9166666666665</v>
          </cell>
          <cell r="J15">
            <v>2905.9166666666665</v>
          </cell>
          <cell r="K15">
            <v>2905.9166666666665</v>
          </cell>
          <cell r="L15">
            <v>2905.9166666666665</v>
          </cell>
          <cell r="M15">
            <v>2905.9166666666665</v>
          </cell>
          <cell r="N15">
            <v>2905.9166666666665</v>
          </cell>
          <cell r="O15">
            <v>2905.9166666666665</v>
          </cell>
          <cell r="P15">
            <v>34871.000000000007</v>
          </cell>
          <cell r="R15" t="str">
            <v>FY14-Non-Cash Labor Hours</v>
          </cell>
          <cell r="S15">
            <v>2905.9166666666665</v>
          </cell>
          <cell r="T15">
            <v>5811.833333333333</v>
          </cell>
          <cell r="U15">
            <v>8717.75</v>
          </cell>
          <cell r="V15">
            <v>11623.666666666666</v>
          </cell>
          <cell r="W15">
            <v>14529.583333333332</v>
          </cell>
          <cell r="X15">
            <v>17435.5</v>
          </cell>
          <cell r="Y15">
            <v>20341.416666666668</v>
          </cell>
          <cell r="Z15">
            <v>23247.333333333336</v>
          </cell>
          <cell r="AA15">
            <v>26153.250000000004</v>
          </cell>
          <cell r="AB15">
            <v>29059.166666666672</v>
          </cell>
          <cell r="AC15">
            <v>31965.083333333339</v>
          </cell>
          <cell r="AD15">
            <v>34871.000000000007</v>
          </cell>
        </row>
        <row r="16">
          <cell r="B16" t="str">
            <v>FY14-Total Cost</v>
          </cell>
          <cell r="C16" t="str">
            <v>Total Cost</v>
          </cell>
          <cell r="D16">
            <v>1099000.6666666667</v>
          </cell>
          <cell r="E16">
            <v>1099000.6666666667</v>
          </cell>
          <cell r="F16">
            <v>1099000.6666666667</v>
          </cell>
          <cell r="G16">
            <v>1099000.6666666667</v>
          </cell>
          <cell r="H16">
            <v>1099000.6666666667</v>
          </cell>
          <cell r="I16">
            <v>1099000.6666666667</v>
          </cell>
          <cell r="J16">
            <v>1099000.6666666667</v>
          </cell>
          <cell r="K16">
            <v>1099000.6666666667</v>
          </cell>
          <cell r="L16">
            <v>1099000.6666666667</v>
          </cell>
          <cell r="M16">
            <v>1099000.6666666667</v>
          </cell>
          <cell r="N16">
            <v>1099000.6666666667</v>
          </cell>
          <cell r="O16">
            <v>1099000.6666666667</v>
          </cell>
          <cell r="P16">
            <v>13188007.999999998</v>
          </cell>
          <cell r="R16" t="str">
            <v>FY14-Total Cost</v>
          </cell>
          <cell r="S16">
            <v>1099000.6666666667</v>
          </cell>
          <cell r="T16">
            <v>2198001.3333333335</v>
          </cell>
          <cell r="U16">
            <v>3297002</v>
          </cell>
          <cell r="V16">
            <v>4396002.666666667</v>
          </cell>
          <cell r="W16">
            <v>5495003.333333334</v>
          </cell>
          <cell r="X16">
            <v>6594004.0000000009</v>
          </cell>
          <cell r="Y16">
            <v>7693004.6666666679</v>
          </cell>
          <cell r="Z16">
            <v>8792005.333333334</v>
          </cell>
          <cell r="AA16">
            <v>9891006</v>
          </cell>
          <cell r="AB16">
            <v>10990006.666666666</v>
          </cell>
          <cell r="AC16">
            <v>12089007.333333332</v>
          </cell>
          <cell r="AD16">
            <v>13188007.999999998</v>
          </cell>
        </row>
        <row r="17">
          <cell r="B17" t="str">
            <v>FY14-Total Hours</v>
          </cell>
          <cell r="C17" t="str">
            <v>Total Hours</v>
          </cell>
          <cell r="D17">
            <v>7541.5</v>
          </cell>
          <cell r="E17">
            <v>7541.5</v>
          </cell>
          <cell r="F17">
            <v>7541.5</v>
          </cell>
          <cell r="G17">
            <v>7541.5</v>
          </cell>
          <cell r="H17">
            <v>7541.5</v>
          </cell>
          <cell r="I17">
            <v>7541.5</v>
          </cell>
          <cell r="J17">
            <v>7541.5</v>
          </cell>
          <cell r="K17">
            <v>7541.5</v>
          </cell>
          <cell r="L17">
            <v>7541.5</v>
          </cell>
          <cell r="M17">
            <v>7541.5</v>
          </cell>
          <cell r="N17">
            <v>7541.5</v>
          </cell>
          <cell r="O17">
            <v>7541.5</v>
          </cell>
          <cell r="P17">
            <v>90498</v>
          </cell>
          <cell r="R17" t="str">
            <v>FY14-Total Hours</v>
          </cell>
          <cell r="S17">
            <v>7541.5</v>
          </cell>
          <cell r="T17">
            <v>15083</v>
          </cell>
          <cell r="U17">
            <v>22624.5</v>
          </cell>
          <cell r="V17">
            <v>30166</v>
          </cell>
          <cell r="W17">
            <v>37707.5</v>
          </cell>
          <cell r="X17">
            <v>45249</v>
          </cell>
          <cell r="Y17">
            <v>52790.5</v>
          </cell>
          <cell r="Z17">
            <v>60332</v>
          </cell>
          <cell r="AA17">
            <v>67873.5</v>
          </cell>
          <cell r="AB17">
            <v>75415</v>
          </cell>
          <cell r="AC17">
            <v>82956.500000000015</v>
          </cell>
          <cell r="AD17">
            <v>90498.000000000015</v>
          </cell>
        </row>
        <row r="18">
          <cell r="B18" t="str">
            <v>FY15-Non-Labor Cost</v>
          </cell>
          <cell r="C18" t="str">
            <v>Non-Labor Cost</v>
          </cell>
          <cell r="D18">
            <v>0</v>
          </cell>
          <cell r="E18">
            <v>0</v>
          </cell>
          <cell r="F18">
            <v>0</v>
          </cell>
          <cell r="G18">
            <v>0</v>
          </cell>
          <cell r="H18">
            <v>0</v>
          </cell>
          <cell r="I18">
            <v>0</v>
          </cell>
          <cell r="J18">
            <v>0</v>
          </cell>
          <cell r="K18">
            <v>0</v>
          </cell>
          <cell r="L18">
            <v>0</v>
          </cell>
          <cell r="M18">
            <v>0</v>
          </cell>
          <cell r="N18">
            <v>0</v>
          </cell>
          <cell r="O18">
            <v>0</v>
          </cell>
          <cell r="P18">
            <v>0</v>
          </cell>
          <cell r="R18" t="str">
            <v>FY15-Non-Labor Cost</v>
          </cell>
          <cell r="S18">
            <v>0</v>
          </cell>
          <cell r="T18">
            <v>0</v>
          </cell>
          <cell r="U18">
            <v>0</v>
          </cell>
          <cell r="V18">
            <v>0</v>
          </cell>
          <cell r="W18">
            <v>0</v>
          </cell>
          <cell r="X18">
            <v>0</v>
          </cell>
          <cell r="Y18">
            <v>0</v>
          </cell>
          <cell r="Z18">
            <v>0</v>
          </cell>
          <cell r="AA18">
            <v>0</v>
          </cell>
          <cell r="AB18">
            <v>0</v>
          </cell>
          <cell r="AC18">
            <v>0</v>
          </cell>
          <cell r="AD18">
            <v>0</v>
          </cell>
        </row>
        <row r="19">
          <cell r="B19" t="str">
            <v>FY15-Cash Labor Costs</v>
          </cell>
          <cell r="C19" t="str">
            <v>Cash Labor Costs</v>
          </cell>
          <cell r="D19">
            <v>0</v>
          </cell>
          <cell r="E19">
            <v>0</v>
          </cell>
          <cell r="F19">
            <v>0</v>
          </cell>
          <cell r="G19">
            <v>0</v>
          </cell>
          <cell r="H19">
            <v>0</v>
          </cell>
          <cell r="I19">
            <v>0</v>
          </cell>
          <cell r="J19">
            <v>0</v>
          </cell>
          <cell r="K19">
            <v>0</v>
          </cell>
          <cell r="L19">
            <v>0</v>
          </cell>
          <cell r="M19">
            <v>0</v>
          </cell>
          <cell r="N19">
            <v>0</v>
          </cell>
          <cell r="O19">
            <v>0</v>
          </cell>
          <cell r="P19">
            <v>0</v>
          </cell>
          <cell r="R19" t="str">
            <v>FY15-Cash Labor Costs</v>
          </cell>
          <cell r="S19">
            <v>0</v>
          </cell>
          <cell r="T19">
            <v>0</v>
          </cell>
          <cell r="U19">
            <v>0</v>
          </cell>
          <cell r="V19">
            <v>0</v>
          </cell>
          <cell r="W19">
            <v>0</v>
          </cell>
          <cell r="X19">
            <v>0</v>
          </cell>
          <cell r="Y19">
            <v>0</v>
          </cell>
          <cell r="Z19">
            <v>0</v>
          </cell>
          <cell r="AA19">
            <v>0</v>
          </cell>
          <cell r="AB19">
            <v>0</v>
          </cell>
          <cell r="AC19">
            <v>0</v>
          </cell>
          <cell r="AD19">
            <v>0</v>
          </cell>
        </row>
        <row r="20">
          <cell r="B20" t="str">
            <v>FY15-Non-Cash Labor Costs</v>
          </cell>
          <cell r="C20" t="str">
            <v>Non-Cash Labor Costs</v>
          </cell>
          <cell r="D20">
            <v>0</v>
          </cell>
          <cell r="E20">
            <v>0</v>
          </cell>
          <cell r="F20">
            <v>0</v>
          </cell>
          <cell r="G20">
            <v>0</v>
          </cell>
          <cell r="H20">
            <v>0</v>
          </cell>
          <cell r="I20">
            <v>0</v>
          </cell>
          <cell r="J20">
            <v>0</v>
          </cell>
          <cell r="K20">
            <v>0</v>
          </cell>
          <cell r="L20">
            <v>0</v>
          </cell>
          <cell r="M20">
            <v>0</v>
          </cell>
          <cell r="N20">
            <v>0</v>
          </cell>
          <cell r="O20">
            <v>0</v>
          </cell>
          <cell r="P20">
            <v>0</v>
          </cell>
          <cell r="R20" t="str">
            <v>FY15-Non-Cash Labor Costs</v>
          </cell>
          <cell r="S20">
            <v>0</v>
          </cell>
          <cell r="T20">
            <v>0</v>
          </cell>
          <cell r="U20">
            <v>0</v>
          </cell>
          <cell r="V20">
            <v>0</v>
          </cell>
          <cell r="W20">
            <v>0</v>
          </cell>
          <cell r="X20">
            <v>0</v>
          </cell>
          <cell r="Y20">
            <v>0</v>
          </cell>
          <cell r="Z20">
            <v>0</v>
          </cell>
          <cell r="AA20">
            <v>0</v>
          </cell>
          <cell r="AB20">
            <v>0</v>
          </cell>
          <cell r="AC20">
            <v>0</v>
          </cell>
          <cell r="AD20">
            <v>0</v>
          </cell>
        </row>
        <row r="21">
          <cell r="B21" t="str">
            <v>FY15-Cash Labor Hours</v>
          </cell>
          <cell r="C21" t="str">
            <v>Cash Labor Hours</v>
          </cell>
          <cell r="D21">
            <v>0</v>
          </cell>
          <cell r="E21">
            <v>0</v>
          </cell>
          <cell r="F21">
            <v>0</v>
          </cell>
          <cell r="G21">
            <v>0</v>
          </cell>
          <cell r="H21">
            <v>0</v>
          </cell>
          <cell r="I21">
            <v>0</v>
          </cell>
          <cell r="J21">
            <v>0</v>
          </cell>
          <cell r="K21">
            <v>0</v>
          </cell>
          <cell r="L21">
            <v>0</v>
          </cell>
          <cell r="M21">
            <v>0</v>
          </cell>
          <cell r="N21">
            <v>0</v>
          </cell>
          <cell r="O21">
            <v>0</v>
          </cell>
          <cell r="P21">
            <v>0</v>
          </cell>
          <cell r="R21" t="str">
            <v>FY15-Cash Labor Hours</v>
          </cell>
          <cell r="S21">
            <v>0</v>
          </cell>
          <cell r="T21">
            <v>0</v>
          </cell>
          <cell r="U21">
            <v>0</v>
          </cell>
          <cell r="V21">
            <v>0</v>
          </cell>
          <cell r="W21">
            <v>0</v>
          </cell>
          <cell r="X21">
            <v>0</v>
          </cell>
          <cell r="Y21">
            <v>0</v>
          </cell>
          <cell r="Z21">
            <v>0</v>
          </cell>
          <cell r="AA21">
            <v>0</v>
          </cell>
          <cell r="AB21">
            <v>0</v>
          </cell>
          <cell r="AC21">
            <v>0</v>
          </cell>
          <cell r="AD21">
            <v>0</v>
          </cell>
        </row>
        <row r="22">
          <cell r="B22" t="str">
            <v>FY15-Non-Cash Labor Hours</v>
          </cell>
          <cell r="C22" t="str">
            <v>Non-Cash Labor Hours</v>
          </cell>
          <cell r="D22">
            <v>0</v>
          </cell>
          <cell r="E22">
            <v>0</v>
          </cell>
          <cell r="F22">
            <v>0</v>
          </cell>
          <cell r="G22">
            <v>0</v>
          </cell>
          <cell r="H22">
            <v>0</v>
          </cell>
          <cell r="I22">
            <v>0</v>
          </cell>
          <cell r="J22">
            <v>0</v>
          </cell>
          <cell r="K22">
            <v>0</v>
          </cell>
          <cell r="L22">
            <v>0</v>
          </cell>
          <cell r="M22">
            <v>0</v>
          </cell>
          <cell r="N22">
            <v>0</v>
          </cell>
          <cell r="O22">
            <v>0</v>
          </cell>
          <cell r="P22">
            <v>0</v>
          </cell>
          <cell r="R22" t="str">
            <v>FY15-Non-Cash Labor Hours</v>
          </cell>
          <cell r="S22">
            <v>0</v>
          </cell>
          <cell r="T22">
            <v>0</v>
          </cell>
          <cell r="U22">
            <v>0</v>
          </cell>
          <cell r="V22">
            <v>0</v>
          </cell>
          <cell r="W22">
            <v>0</v>
          </cell>
          <cell r="X22">
            <v>0</v>
          </cell>
          <cell r="Y22">
            <v>0</v>
          </cell>
          <cell r="Z22">
            <v>0</v>
          </cell>
          <cell r="AA22">
            <v>0</v>
          </cell>
          <cell r="AB22">
            <v>0</v>
          </cell>
          <cell r="AC22">
            <v>0</v>
          </cell>
          <cell r="AD22">
            <v>0</v>
          </cell>
        </row>
        <row r="23">
          <cell r="B23" t="str">
            <v>FY15-Total Cost</v>
          </cell>
          <cell r="C23" t="str">
            <v>Total Cost</v>
          </cell>
          <cell r="D23">
            <v>0</v>
          </cell>
          <cell r="E23">
            <v>0</v>
          </cell>
          <cell r="F23">
            <v>0</v>
          </cell>
          <cell r="G23">
            <v>0</v>
          </cell>
          <cell r="H23">
            <v>0</v>
          </cell>
          <cell r="I23">
            <v>0</v>
          </cell>
          <cell r="J23">
            <v>0</v>
          </cell>
          <cell r="K23">
            <v>0</v>
          </cell>
          <cell r="L23">
            <v>0</v>
          </cell>
          <cell r="M23">
            <v>0</v>
          </cell>
          <cell r="N23">
            <v>0</v>
          </cell>
          <cell r="O23">
            <v>0</v>
          </cell>
          <cell r="P23">
            <v>0</v>
          </cell>
          <cell r="R23" t="str">
            <v>FY15-Total Cost</v>
          </cell>
          <cell r="S23">
            <v>0</v>
          </cell>
          <cell r="T23">
            <v>0</v>
          </cell>
          <cell r="U23">
            <v>0</v>
          </cell>
          <cell r="V23">
            <v>0</v>
          </cell>
          <cell r="W23">
            <v>0</v>
          </cell>
          <cell r="X23">
            <v>0</v>
          </cell>
          <cell r="Y23">
            <v>0</v>
          </cell>
          <cell r="Z23">
            <v>0</v>
          </cell>
          <cell r="AA23">
            <v>0</v>
          </cell>
          <cell r="AB23">
            <v>0</v>
          </cell>
          <cell r="AC23">
            <v>0</v>
          </cell>
          <cell r="AD23">
            <v>0</v>
          </cell>
        </row>
        <row r="24">
          <cell r="B24" t="str">
            <v>FY15-Total Hours</v>
          </cell>
          <cell r="C24" t="str">
            <v>Total Hours</v>
          </cell>
          <cell r="D24">
            <v>0</v>
          </cell>
          <cell r="E24">
            <v>0</v>
          </cell>
          <cell r="F24">
            <v>0</v>
          </cell>
          <cell r="G24">
            <v>0</v>
          </cell>
          <cell r="H24">
            <v>0</v>
          </cell>
          <cell r="I24">
            <v>0</v>
          </cell>
          <cell r="J24">
            <v>0</v>
          </cell>
          <cell r="K24">
            <v>0</v>
          </cell>
          <cell r="L24">
            <v>0</v>
          </cell>
          <cell r="M24">
            <v>0</v>
          </cell>
          <cell r="N24">
            <v>0</v>
          </cell>
          <cell r="O24">
            <v>0</v>
          </cell>
          <cell r="P24">
            <v>0</v>
          </cell>
          <cell r="R24" t="str">
            <v>FY15-Total Hours</v>
          </cell>
          <cell r="S24">
            <v>0</v>
          </cell>
          <cell r="T24">
            <v>0</v>
          </cell>
          <cell r="U24">
            <v>0</v>
          </cell>
          <cell r="V24">
            <v>0</v>
          </cell>
          <cell r="W24">
            <v>0</v>
          </cell>
          <cell r="X24">
            <v>0</v>
          </cell>
          <cell r="Y24">
            <v>0</v>
          </cell>
          <cell r="Z24">
            <v>0</v>
          </cell>
          <cell r="AA24">
            <v>0</v>
          </cell>
          <cell r="AB24">
            <v>0</v>
          </cell>
          <cell r="AC24">
            <v>0</v>
          </cell>
          <cell r="AD24">
            <v>0</v>
          </cell>
        </row>
        <row r="26">
          <cell r="B26" t="str">
            <v>Total-Non-Labor Cost</v>
          </cell>
          <cell r="C26" t="str">
            <v>Non-Labor Cost</v>
          </cell>
          <cell r="D26">
            <v>391898.83333333337</v>
          </cell>
          <cell r="E26">
            <v>391898.83333333337</v>
          </cell>
          <cell r="F26">
            <v>391898.83333333337</v>
          </cell>
          <cell r="G26">
            <v>391898.83333333337</v>
          </cell>
          <cell r="H26">
            <v>391898.83333333337</v>
          </cell>
          <cell r="I26">
            <v>391898.83333333337</v>
          </cell>
          <cell r="J26">
            <v>391898.83333333337</v>
          </cell>
          <cell r="K26">
            <v>391898.83333333337</v>
          </cell>
          <cell r="L26">
            <v>391898.83333333337</v>
          </cell>
          <cell r="M26">
            <v>391898.83333333337</v>
          </cell>
          <cell r="N26">
            <v>391898.83333333337</v>
          </cell>
          <cell r="O26">
            <v>391898.83333333337</v>
          </cell>
          <cell r="P26">
            <v>4702786.0000000009</v>
          </cell>
        </row>
        <row r="27">
          <cell r="B27" t="str">
            <v>Total-Cash Labor Costs</v>
          </cell>
          <cell r="C27" t="str">
            <v>Cash Labor Costs</v>
          </cell>
          <cell r="D27">
            <v>1149767.8333333335</v>
          </cell>
          <cell r="E27">
            <v>1149767.8333333335</v>
          </cell>
          <cell r="F27">
            <v>1149767.8333333335</v>
          </cell>
          <cell r="G27">
            <v>1149767.8333333335</v>
          </cell>
          <cell r="H27">
            <v>1149767.8333333335</v>
          </cell>
          <cell r="I27">
            <v>1149767.8333333335</v>
          </cell>
          <cell r="J27">
            <v>1149767.8333333335</v>
          </cell>
          <cell r="K27">
            <v>1149767.8333333335</v>
          </cell>
          <cell r="L27">
            <v>1149767.8333333335</v>
          </cell>
          <cell r="M27">
            <v>1149767.8333333335</v>
          </cell>
          <cell r="N27">
            <v>1149767.8333333335</v>
          </cell>
          <cell r="O27">
            <v>1149767.8333333335</v>
          </cell>
          <cell r="P27">
            <v>13797214.000000006</v>
          </cell>
        </row>
        <row r="28">
          <cell r="B28" t="str">
            <v>Total-Non-Cash Labor Costs</v>
          </cell>
          <cell r="C28" t="str">
            <v>Non-Cash Labor Costs</v>
          </cell>
          <cell r="D28">
            <v>333333.33333333331</v>
          </cell>
          <cell r="E28">
            <v>333333.33333333331</v>
          </cell>
          <cell r="F28">
            <v>333333.33333333331</v>
          </cell>
          <cell r="G28">
            <v>333333.33333333331</v>
          </cell>
          <cell r="H28">
            <v>333333.33333333331</v>
          </cell>
          <cell r="I28">
            <v>333333.33333333331</v>
          </cell>
          <cell r="J28">
            <v>333333.33333333331</v>
          </cell>
          <cell r="K28">
            <v>333333.33333333331</v>
          </cell>
          <cell r="L28">
            <v>333333.33333333331</v>
          </cell>
          <cell r="M28">
            <v>333333.33333333331</v>
          </cell>
          <cell r="N28">
            <v>333333.33333333331</v>
          </cell>
          <cell r="O28">
            <v>333333.33333333331</v>
          </cell>
          <cell r="P28">
            <v>4000000.0000000005</v>
          </cell>
        </row>
        <row r="29">
          <cell r="B29" t="str">
            <v>Total-Cash Labor Hours</v>
          </cell>
          <cell r="C29" t="str">
            <v>Cash Labor Hours</v>
          </cell>
          <cell r="D29">
            <v>10387.583333333332</v>
          </cell>
          <cell r="E29">
            <v>10387.583333333332</v>
          </cell>
          <cell r="F29">
            <v>10387.583333333332</v>
          </cell>
          <cell r="G29">
            <v>10387.583333333332</v>
          </cell>
          <cell r="H29">
            <v>10387.583333333332</v>
          </cell>
          <cell r="I29">
            <v>10387.583333333332</v>
          </cell>
          <cell r="J29">
            <v>10387.583333333332</v>
          </cell>
          <cell r="K29">
            <v>10387.583333333332</v>
          </cell>
          <cell r="L29">
            <v>10387.583333333332</v>
          </cell>
          <cell r="M29">
            <v>10387.583333333332</v>
          </cell>
          <cell r="N29">
            <v>10387.583333333332</v>
          </cell>
          <cell r="O29">
            <v>10387.583333333332</v>
          </cell>
          <cell r="P29">
            <v>124650.99999999996</v>
          </cell>
        </row>
        <row r="30">
          <cell r="B30" t="str">
            <v>Total-Non-Cash Labor Hours</v>
          </cell>
          <cell r="C30" t="str">
            <v>Non-Cash Labor Hours</v>
          </cell>
          <cell r="D30">
            <v>6340.083333333333</v>
          </cell>
          <cell r="E30">
            <v>6340.083333333333</v>
          </cell>
          <cell r="F30">
            <v>6340.083333333333</v>
          </cell>
          <cell r="G30">
            <v>6340.083333333333</v>
          </cell>
          <cell r="H30">
            <v>6340.083333333333</v>
          </cell>
          <cell r="I30">
            <v>6340.083333333333</v>
          </cell>
          <cell r="J30">
            <v>6340.083333333333</v>
          </cell>
          <cell r="K30">
            <v>6340.083333333333</v>
          </cell>
          <cell r="L30">
            <v>6340.083333333333</v>
          </cell>
          <cell r="M30">
            <v>6340.083333333333</v>
          </cell>
          <cell r="N30">
            <v>6340.083333333333</v>
          </cell>
          <cell r="O30">
            <v>6340.083333333333</v>
          </cell>
          <cell r="P30">
            <v>76081</v>
          </cell>
        </row>
        <row r="31">
          <cell r="B31" t="str">
            <v>Total-Total Cost</v>
          </cell>
          <cell r="C31" t="str">
            <v>Total Cost</v>
          </cell>
          <cell r="D31">
            <v>1875000</v>
          </cell>
          <cell r="E31">
            <v>1875000</v>
          </cell>
          <cell r="F31">
            <v>1875000</v>
          </cell>
          <cell r="G31">
            <v>1875000</v>
          </cell>
          <cell r="H31">
            <v>1875000</v>
          </cell>
          <cell r="I31">
            <v>1875000</v>
          </cell>
          <cell r="J31">
            <v>1875000</v>
          </cell>
          <cell r="K31">
            <v>1875000</v>
          </cell>
          <cell r="L31">
            <v>1875000</v>
          </cell>
          <cell r="M31">
            <v>1875000</v>
          </cell>
          <cell r="N31">
            <v>1875000</v>
          </cell>
          <cell r="O31">
            <v>1875000</v>
          </cell>
          <cell r="P31">
            <v>22500000</v>
          </cell>
        </row>
        <row r="32">
          <cell r="B32" t="str">
            <v>Total-Total Hours</v>
          </cell>
          <cell r="C32" t="str">
            <v>Total Hours</v>
          </cell>
          <cell r="D32">
            <v>16727.666666666664</v>
          </cell>
          <cell r="E32">
            <v>16727.666666666664</v>
          </cell>
          <cell r="F32">
            <v>16727.666666666664</v>
          </cell>
          <cell r="G32">
            <v>16727.666666666664</v>
          </cell>
          <cell r="H32">
            <v>16727.666666666664</v>
          </cell>
          <cell r="I32">
            <v>16727.666666666664</v>
          </cell>
          <cell r="J32">
            <v>16727.666666666664</v>
          </cell>
          <cell r="K32">
            <v>16727.666666666664</v>
          </cell>
          <cell r="L32">
            <v>16727.666666666664</v>
          </cell>
          <cell r="M32">
            <v>16727.666666666664</v>
          </cell>
          <cell r="N32">
            <v>16727.666666666664</v>
          </cell>
          <cell r="O32">
            <v>16727.666666666664</v>
          </cell>
          <cell r="P32">
            <v>200731.99999999991</v>
          </cell>
        </row>
        <row r="36">
          <cell r="B36" t="str">
            <v>FY13-Univ PBA</v>
          </cell>
          <cell r="C36" t="str">
            <v>Univ PBA</v>
          </cell>
          <cell r="D36">
            <v>0</v>
          </cell>
          <cell r="E36">
            <v>0</v>
          </cell>
          <cell r="F36">
            <v>0</v>
          </cell>
          <cell r="G36">
            <v>0</v>
          </cell>
          <cell r="H36">
            <v>0</v>
          </cell>
          <cell r="I36">
            <v>0</v>
          </cell>
          <cell r="J36">
            <v>0</v>
          </cell>
          <cell r="K36">
            <v>0</v>
          </cell>
          <cell r="L36">
            <v>0</v>
          </cell>
          <cell r="M36">
            <v>0</v>
          </cell>
          <cell r="N36">
            <v>0</v>
          </cell>
          <cell r="O36">
            <v>0</v>
          </cell>
          <cell r="P36">
            <v>0</v>
          </cell>
          <cell r="R36" t="str">
            <v>FY13-Univ PBA</v>
          </cell>
          <cell r="S36">
            <v>0</v>
          </cell>
          <cell r="T36">
            <v>0</v>
          </cell>
          <cell r="U36">
            <v>0</v>
          </cell>
          <cell r="V36">
            <v>0</v>
          </cell>
          <cell r="W36">
            <v>0</v>
          </cell>
          <cell r="X36">
            <v>0</v>
          </cell>
          <cell r="Y36">
            <v>0</v>
          </cell>
          <cell r="Z36">
            <v>0</v>
          </cell>
          <cell r="AA36">
            <v>0</v>
          </cell>
          <cell r="AB36">
            <v>0</v>
          </cell>
          <cell r="AC36">
            <v>0</v>
          </cell>
          <cell r="AD36">
            <v>0</v>
          </cell>
        </row>
        <row r="37">
          <cell r="B37" t="str">
            <v>FY13-Univ Cash</v>
          </cell>
          <cell r="C37" t="str">
            <v>Univ Cash</v>
          </cell>
          <cell r="O37">
            <v>10000000</v>
          </cell>
          <cell r="P37">
            <v>10000000</v>
          </cell>
          <cell r="R37" t="str">
            <v>FY13-Univ Cash</v>
          </cell>
          <cell r="S37">
            <v>0</v>
          </cell>
          <cell r="T37">
            <v>0</v>
          </cell>
          <cell r="U37">
            <v>0</v>
          </cell>
          <cell r="V37">
            <v>0</v>
          </cell>
          <cell r="W37">
            <v>0</v>
          </cell>
          <cell r="X37">
            <v>0</v>
          </cell>
          <cell r="Y37">
            <v>0</v>
          </cell>
          <cell r="Z37">
            <v>0</v>
          </cell>
          <cell r="AA37">
            <v>0</v>
          </cell>
          <cell r="AB37">
            <v>0</v>
          </cell>
          <cell r="AC37">
            <v>0</v>
          </cell>
          <cell r="AD37">
            <v>10000000</v>
          </cell>
        </row>
        <row r="38">
          <cell r="B38" t="str">
            <v>FY13-CIO PBA</v>
          </cell>
          <cell r="C38" t="str">
            <v>CIO PBA</v>
          </cell>
          <cell r="D38">
            <v>0</v>
          </cell>
          <cell r="E38">
            <v>0</v>
          </cell>
          <cell r="F38">
            <v>0</v>
          </cell>
          <cell r="G38">
            <v>0</v>
          </cell>
          <cell r="H38">
            <v>0</v>
          </cell>
          <cell r="I38">
            <v>0</v>
          </cell>
          <cell r="J38">
            <v>0</v>
          </cell>
          <cell r="K38">
            <v>0</v>
          </cell>
          <cell r="L38">
            <v>0</v>
          </cell>
          <cell r="M38">
            <v>0</v>
          </cell>
          <cell r="N38">
            <v>0</v>
          </cell>
          <cell r="O38">
            <v>0</v>
          </cell>
          <cell r="P38">
            <v>0</v>
          </cell>
          <cell r="R38" t="str">
            <v>FY13-CIO PBA</v>
          </cell>
          <cell r="S38">
            <v>0</v>
          </cell>
          <cell r="T38">
            <v>0</v>
          </cell>
          <cell r="U38">
            <v>0</v>
          </cell>
          <cell r="V38">
            <v>0</v>
          </cell>
          <cell r="W38">
            <v>0</v>
          </cell>
          <cell r="X38">
            <v>0</v>
          </cell>
          <cell r="Y38">
            <v>0</v>
          </cell>
          <cell r="Z38">
            <v>0</v>
          </cell>
          <cell r="AA38">
            <v>0</v>
          </cell>
          <cell r="AB38">
            <v>0</v>
          </cell>
          <cell r="AC38">
            <v>0</v>
          </cell>
          <cell r="AD38">
            <v>0</v>
          </cell>
        </row>
        <row r="39">
          <cell r="B39" t="str">
            <v>FY13-CIO Cash</v>
          </cell>
          <cell r="C39" t="str">
            <v>CIO Cash</v>
          </cell>
          <cell r="D39">
            <v>0</v>
          </cell>
          <cell r="E39">
            <v>0</v>
          </cell>
          <cell r="F39">
            <v>0</v>
          </cell>
          <cell r="G39">
            <v>0</v>
          </cell>
          <cell r="H39">
            <v>0</v>
          </cell>
          <cell r="I39">
            <v>0</v>
          </cell>
          <cell r="J39">
            <v>0</v>
          </cell>
          <cell r="K39">
            <v>0</v>
          </cell>
          <cell r="L39">
            <v>0</v>
          </cell>
          <cell r="M39">
            <v>0</v>
          </cell>
          <cell r="N39">
            <v>0</v>
          </cell>
          <cell r="O39">
            <v>0</v>
          </cell>
          <cell r="P39">
            <v>0</v>
          </cell>
          <cell r="R39" t="str">
            <v>FY13-CIO Cash</v>
          </cell>
          <cell r="S39">
            <v>0</v>
          </cell>
          <cell r="T39">
            <v>0</v>
          </cell>
          <cell r="U39">
            <v>0</v>
          </cell>
          <cell r="V39">
            <v>0</v>
          </cell>
          <cell r="W39">
            <v>0</v>
          </cell>
          <cell r="X39">
            <v>0</v>
          </cell>
          <cell r="Y39">
            <v>0</v>
          </cell>
          <cell r="Z39">
            <v>0</v>
          </cell>
          <cell r="AA39">
            <v>0</v>
          </cell>
          <cell r="AB39">
            <v>0</v>
          </cell>
          <cell r="AC39">
            <v>0</v>
          </cell>
          <cell r="AD39">
            <v>0</v>
          </cell>
        </row>
        <row r="40">
          <cell r="B40" t="str">
            <v>FY13-Other Cash</v>
          </cell>
          <cell r="C40" t="str">
            <v>Other Cash</v>
          </cell>
          <cell r="D40">
            <v>0</v>
          </cell>
          <cell r="E40">
            <v>0</v>
          </cell>
          <cell r="F40">
            <v>0</v>
          </cell>
          <cell r="G40">
            <v>0</v>
          </cell>
          <cell r="H40">
            <v>0</v>
          </cell>
          <cell r="I40">
            <v>0</v>
          </cell>
          <cell r="J40">
            <v>0</v>
          </cell>
          <cell r="K40">
            <v>0</v>
          </cell>
          <cell r="L40">
            <v>0</v>
          </cell>
          <cell r="M40">
            <v>0</v>
          </cell>
          <cell r="N40">
            <v>0</v>
          </cell>
          <cell r="O40">
            <v>0</v>
          </cell>
          <cell r="P40">
            <v>0</v>
          </cell>
          <cell r="R40" t="str">
            <v>FY13-Other Cash</v>
          </cell>
          <cell r="S40">
            <v>0</v>
          </cell>
          <cell r="T40">
            <v>0</v>
          </cell>
          <cell r="U40">
            <v>0</v>
          </cell>
          <cell r="V40">
            <v>0</v>
          </cell>
          <cell r="W40">
            <v>0</v>
          </cell>
          <cell r="X40">
            <v>0</v>
          </cell>
          <cell r="Y40">
            <v>0</v>
          </cell>
          <cell r="Z40">
            <v>0</v>
          </cell>
          <cell r="AA40">
            <v>0</v>
          </cell>
          <cell r="AB40">
            <v>0</v>
          </cell>
          <cell r="AC40">
            <v>0</v>
          </cell>
          <cell r="AD40">
            <v>0</v>
          </cell>
        </row>
        <row r="41">
          <cell r="B41" t="str">
            <v>FY13-Donated Resources</v>
          </cell>
          <cell r="C41" t="str">
            <v>Donated Resources</v>
          </cell>
          <cell r="D41">
            <v>83333.333333333328</v>
          </cell>
          <cell r="E41">
            <v>83333.333333333328</v>
          </cell>
          <cell r="F41">
            <v>83333.333333333328</v>
          </cell>
          <cell r="G41">
            <v>83333.333333333328</v>
          </cell>
          <cell r="H41">
            <v>83333.333333333328</v>
          </cell>
          <cell r="I41">
            <v>83333.333333333328</v>
          </cell>
          <cell r="J41">
            <v>83333.333333333328</v>
          </cell>
          <cell r="K41">
            <v>83333.333333333328</v>
          </cell>
          <cell r="L41">
            <v>83333.333333333328</v>
          </cell>
          <cell r="M41">
            <v>83333.333333333328</v>
          </cell>
          <cell r="N41">
            <v>83333.333333333328</v>
          </cell>
          <cell r="O41">
            <v>83333.333333333328</v>
          </cell>
          <cell r="P41">
            <v>1000000.0000000001</v>
          </cell>
          <cell r="R41" t="str">
            <v>FY13-Donated Resources</v>
          </cell>
          <cell r="S41">
            <v>83333.333333333328</v>
          </cell>
          <cell r="T41">
            <v>166666.66666666666</v>
          </cell>
          <cell r="U41">
            <v>250000</v>
          </cell>
          <cell r="V41">
            <v>333333.33333333331</v>
          </cell>
          <cell r="W41">
            <v>416666.66666666663</v>
          </cell>
          <cell r="X41">
            <v>499999.99999999994</v>
          </cell>
          <cell r="Y41">
            <v>583333.33333333326</v>
          </cell>
          <cell r="Z41">
            <v>666666.66666666663</v>
          </cell>
          <cell r="AA41">
            <v>750000</v>
          </cell>
          <cell r="AB41">
            <v>833333.33333333337</v>
          </cell>
          <cell r="AC41">
            <v>916666.66666666674</v>
          </cell>
          <cell r="AD41">
            <v>1000000.0000000001</v>
          </cell>
        </row>
        <row r="42">
          <cell r="B42" t="str">
            <v>FY13-Other non-Cash</v>
          </cell>
          <cell r="C42" t="str">
            <v>Other non-Cash</v>
          </cell>
          <cell r="D42">
            <v>0</v>
          </cell>
          <cell r="E42">
            <v>0</v>
          </cell>
          <cell r="F42">
            <v>0</v>
          </cell>
          <cell r="G42">
            <v>0</v>
          </cell>
          <cell r="H42">
            <v>0</v>
          </cell>
          <cell r="I42">
            <v>0</v>
          </cell>
          <cell r="J42">
            <v>0</v>
          </cell>
          <cell r="K42">
            <v>0</v>
          </cell>
          <cell r="L42">
            <v>0</v>
          </cell>
          <cell r="M42">
            <v>0</v>
          </cell>
          <cell r="N42">
            <v>0</v>
          </cell>
          <cell r="O42">
            <v>0</v>
          </cell>
          <cell r="P42">
            <v>0</v>
          </cell>
          <cell r="R42" t="str">
            <v>FY13-Other non-Cash</v>
          </cell>
          <cell r="S42">
            <v>0</v>
          </cell>
          <cell r="T42">
            <v>0</v>
          </cell>
          <cell r="U42">
            <v>0</v>
          </cell>
          <cell r="V42">
            <v>0</v>
          </cell>
          <cell r="W42">
            <v>0</v>
          </cell>
          <cell r="X42">
            <v>0</v>
          </cell>
          <cell r="Y42">
            <v>0</v>
          </cell>
          <cell r="Z42">
            <v>0</v>
          </cell>
          <cell r="AA42">
            <v>0</v>
          </cell>
          <cell r="AB42">
            <v>0</v>
          </cell>
          <cell r="AC42">
            <v>0</v>
          </cell>
          <cell r="AD42">
            <v>0</v>
          </cell>
        </row>
        <row r="43">
          <cell r="B43" t="str">
            <v>FY13-Total Cash-Based</v>
          </cell>
          <cell r="C43" t="str">
            <v>Total Cash-Based</v>
          </cell>
          <cell r="D43">
            <v>0</v>
          </cell>
          <cell r="E43">
            <v>0</v>
          </cell>
          <cell r="F43">
            <v>0</v>
          </cell>
          <cell r="G43">
            <v>0</v>
          </cell>
          <cell r="H43">
            <v>0</v>
          </cell>
          <cell r="I43">
            <v>0</v>
          </cell>
          <cell r="J43">
            <v>0</v>
          </cell>
          <cell r="K43">
            <v>0</v>
          </cell>
          <cell r="L43">
            <v>0</v>
          </cell>
          <cell r="M43">
            <v>0</v>
          </cell>
          <cell r="N43">
            <v>0</v>
          </cell>
          <cell r="O43">
            <v>10000000</v>
          </cell>
          <cell r="P43">
            <v>10000000</v>
          </cell>
          <cell r="R43" t="str">
            <v>FY13-Total Cash-Based</v>
          </cell>
          <cell r="S43">
            <v>0</v>
          </cell>
          <cell r="T43">
            <v>0</v>
          </cell>
          <cell r="U43">
            <v>0</v>
          </cell>
          <cell r="V43">
            <v>0</v>
          </cell>
          <cell r="W43">
            <v>0</v>
          </cell>
          <cell r="X43">
            <v>0</v>
          </cell>
          <cell r="Y43">
            <v>0</v>
          </cell>
          <cell r="Z43">
            <v>0</v>
          </cell>
          <cell r="AA43">
            <v>0</v>
          </cell>
          <cell r="AB43">
            <v>0</v>
          </cell>
          <cell r="AC43">
            <v>0</v>
          </cell>
          <cell r="AD43">
            <v>10000000</v>
          </cell>
        </row>
        <row r="44">
          <cell r="B44" t="str">
            <v>FY13-Total non-Cash Based</v>
          </cell>
          <cell r="C44" t="str">
            <v>Total non-Cash Based</v>
          </cell>
          <cell r="D44">
            <v>83333.333333333328</v>
          </cell>
          <cell r="E44">
            <v>83333.333333333328</v>
          </cell>
          <cell r="F44">
            <v>83333.333333333328</v>
          </cell>
          <cell r="G44">
            <v>83333.333333333328</v>
          </cell>
          <cell r="H44">
            <v>83333.333333333328</v>
          </cell>
          <cell r="I44">
            <v>83333.333333333328</v>
          </cell>
          <cell r="J44">
            <v>83333.333333333328</v>
          </cell>
          <cell r="K44">
            <v>83333.333333333328</v>
          </cell>
          <cell r="L44">
            <v>83333.333333333328</v>
          </cell>
          <cell r="M44">
            <v>83333.333333333328</v>
          </cell>
          <cell r="N44">
            <v>83333.333333333328</v>
          </cell>
          <cell r="O44">
            <v>83333.333333333328</v>
          </cell>
          <cell r="P44">
            <v>1000000.0000000001</v>
          </cell>
          <cell r="R44" t="str">
            <v>FY13-Total non-Cash Based</v>
          </cell>
          <cell r="S44">
            <v>83333.333333333328</v>
          </cell>
          <cell r="T44">
            <v>166666.66666666666</v>
          </cell>
          <cell r="U44">
            <v>250000</v>
          </cell>
          <cell r="V44">
            <v>333333.33333333331</v>
          </cell>
          <cell r="W44">
            <v>416666.66666666663</v>
          </cell>
          <cell r="X44">
            <v>499999.99999999994</v>
          </cell>
          <cell r="Y44">
            <v>583333.33333333326</v>
          </cell>
          <cell r="Z44">
            <v>666666.66666666663</v>
          </cell>
          <cell r="AA44">
            <v>750000</v>
          </cell>
          <cell r="AB44">
            <v>833333.33333333337</v>
          </cell>
          <cell r="AC44">
            <v>916666.66666666674</v>
          </cell>
          <cell r="AD44">
            <v>1000000.0000000001</v>
          </cell>
        </row>
        <row r="45">
          <cell r="B45" t="str">
            <v>FY13-Grand total</v>
          </cell>
          <cell r="C45" t="str">
            <v>Grand total</v>
          </cell>
          <cell r="D45">
            <v>83333.333333333328</v>
          </cell>
          <cell r="E45">
            <v>83333.333333333328</v>
          </cell>
          <cell r="F45">
            <v>83333.333333333328</v>
          </cell>
          <cell r="G45">
            <v>83333.333333333328</v>
          </cell>
          <cell r="H45">
            <v>83333.333333333328</v>
          </cell>
          <cell r="I45">
            <v>83333.333333333328</v>
          </cell>
          <cell r="J45">
            <v>83333.333333333328</v>
          </cell>
          <cell r="K45">
            <v>83333.333333333328</v>
          </cell>
          <cell r="L45">
            <v>83333.333333333328</v>
          </cell>
          <cell r="M45">
            <v>83333.333333333328</v>
          </cell>
          <cell r="N45">
            <v>83333.333333333328</v>
          </cell>
          <cell r="O45">
            <v>10083333.333333334</v>
          </cell>
          <cell r="P45">
            <v>11000000</v>
          </cell>
          <cell r="R45" t="str">
            <v>FY13-Grand total</v>
          </cell>
          <cell r="S45">
            <v>83333.333333333328</v>
          </cell>
          <cell r="T45">
            <v>166666.66666666666</v>
          </cell>
          <cell r="U45">
            <v>250000</v>
          </cell>
          <cell r="V45">
            <v>333333.33333333331</v>
          </cell>
          <cell r="W45">
            <v>416666.66666666663</v>
          </cell>
          <cell r="X45">
            <v>499999.99999999994</v>
          </cell>
          <cell r="Y45">
            <v>583333.33333333326</v>
          </cell>
          <cell r="Z45">
            <v>666666.66666666663</v>
          </cell>
          <cell r="AA45">
            <v>750000</v>
          </cell>
          <cell r="AB45">
            <v>833333.33333333337</v>
          </cell>
          <cell r="AC45">
            <v>916666.66666666674</v>
          </cell>
          <cell r="AD45">
            <v>11000000</v>
          </cell>
        </row>
        <row r="46">
          <cell r="B46" t="str">
            <v>FY14-Univ PBA</v>
          </cell>
          <cell r="C46" t="str">
            <v>Univ PBA</v>
          </cell>
          <cell r="D46">
            <v>0</v>
          </cell>
          <cell r="E46">
            <v>0</v>
          </cell>
          <cell r="F46">
            <v>0</v>
          </cell>
          <cell r="G46">
            <v>0</v>
          </cell>
          <cell r="H46">
            <v>0</v>
          </cell>
          <cell r="I46">
            <v>0</v>
          </cell>
          <cell r="J46">
            <v>0</v>
          </cell>
          <cell r="K46">
            <v>0</v>
          </cell>
          <cell r="L46">
            <v>0</v>
          </cell>
          <cell r="M46">
            <v>0</v>
          </cell>
          <cell r="N46">
            <v>0</v>
          </cell>
          <cell r="O46">
            <v>0</v>
          </cell>
          <cell r="P46">
            <v>0</v>
          </cell>
          <cell r="R46" t="str">
            <v>FY14-Univ PBA</v>
          </cell>
          <cell r="S46">
            <v>0</v>
          </cell>
          <cell r="T46">
            <v>0</v>
          </cell>
          <cell r="U46">
            <v>0</v>
          </cell>
          <cell r="V46">
            <v>0</v>
          </cell>
          <cell r="W46">
            <v>0</v>
          </cell>
          <cell r="X46">
            <v>0</v>
          </cell>
          <cell r="Y46">
            <v>0</v>
          </cell>
          <cell r="Z46">
            <v>0</v>
          </cell>
          <cell r="AA46">
            <v>0</v>
          </cell>
          <cell r="AB46">
            <v>0</v>
          </cell>
          <cell r="AC46">
            <v>0</v>
          </cell>
          <cell r="AD46">
            <v>0</v>
          </cell>
        </row>
        <row r="47">
          <cell r="B47" t="str">
            <v>FY14-Univ Cash</v>
          </cell>
          <cell r="C47" t="str">
            <v>Univ Cash</v>
          </cell>
          <cell r="O47">
            <v>8500000</v>
          </cell>
          <cell r="P47">
            <v>8500000</v>
          </cell>
          <cell r="R47" t="str">
            <v>FY14-Univ Cash</v>
          </cell>
          <cell r="S47">
            <v>0</v>
          </cell>
          <cell r="T47">
            <v>0</v>
          </cell>
          <cell r="U47">
            <v>0</v>
          </cell>
          <cell r="V47">
            <v>0</v>
          </cell>
          <cell r="W47">
            <v>0</v>
          </cell>
          <cell r="X47">
            <v>0</v>
          </cell>
          <cell r="Y47">
            <v>0</v>
          </cell>
          <cell r="Z47">
            <v>0</v>
          </cell>
          <cell r="AA47">
            <v>0</v>
          </cell>
          <cell r="AB47">
            <v>0</v>
          </cell>
          <cell r="AC47">
            <v>0</v>
          </cell>
          <cell r="AD47">
            <v>8500000</v>
          </cell>
        </row>
        <row r="48">
          <cell r="B48" t="str">
            <v>FY14-CIO PBA</v>
          </cell>
          <cell r="C48" t="str">
            <v>CIO PBA</v>
          </cell>
          <cell r="D48">
            <v>0</v>
          </cell>
          <cell r="E48">
            <v>0</v>
          </cell>
          <cell r="F48">
            <v>0</v>
          </cell>
          <cell r="G48">
            <v>0</v>
          </cell>
          <cell r="H48">
            <v>0</v>
          </cell>
          <cell r="I48">
            <v>0</v>
          </cell>
          <cell r="J48">
            <v>0</v>
          </cell>
          <cell r="K48">
            <v>0</v>
          </cell>
          <cell r="L48">
            <v>0</v>
          </cell>
          <cell r="M48">
            <v>0</v>
          </cell>
          <cell r="N48">
            <v>0</v>
          </cell>
          <cell r="O48">
            <v>0</v>
          </cell>
          <cell r="P48">
            <v>0</v>
          </cell>
          <cell r="R48" t="str">
            <v>FY14-CIO PBA</v>
          </cell>
          <cell r="S48">
            <v>0</v>
          </cell>
          <cell r="T48">
            <v>0</v>
          </cell>
          <cell r="U48">
            <v>0</v>
          </cell>
          <cell r="V48">
            <v>0</v>
          </cell>
          <cell r="W48">
            <v>0</v>
          </cell>
          <cell r="X48">
            <v>0</v>
          </cell>
          <cell r="Y48">
            <v>0</v>
          </cell>
          <cell r="Z48">
            <v>0</v>
          </cell>
          <cell r="AA48">
            <v>0</v>
          </cell>
          <cell r="AB48">
            <v>0</v>
          </cell>
          <cell r="AC48">
            <v>0</v>
          </cell>
          <cell r="AD48">
            <v>0</v>
          </cell>
        </row>
        <row r="49">
          <cell r="B49" t="str">
            <v>FY14-CIO Cash</v>
          </cell>
          <cell r="C49" t="str">
            <v>CIO Cash</v>
          </cell>
          <cell r="D49">
            <v>0</v>
          </cell>
          <cell r="E49">
            <v>0</v>
          </cell>
          <cell r="F49">
            <v>0</v>
          </cell>
          <cell r="G49">
            <v>0</v>
          </cell>
          <cell r="H49">
            <v>0</v>
          </cell>
          <cell r="I49">
            <v>0</v>
          </cell>
          <cell r="J49">
            <v>0</v>
          </cell>
          <cell r="K49">
            <v>0</v>
          </cell>
          <cell r="L49">
            <v>0</v>
          </cell>
          <cell r="M49">
            <v>0</v>
          </cell>
          <cell r="N49">
            <v>0</v>
          </cell>
          <cell r="O49">
            <v>0</v>
          </cell>
          <cell r="P49">
            <v>0</v>
          </cell>
          <cell r="R49" t="str">
            <v>FY14-CIO Cash</v>
          </cell>
          <cell r="S49">
            <v>0</v>
          </cell>
          <cell r="T49">
            <v>0</v>
          </cell>
          <cell r="U49">
            <v>0</v>
          </cell>
          <cell r="V49">
            <v>0</v>
          </cell>
          <cell r="W49">
            <v>0</v>
          </cell>
          <cell r="X49">
            <v>0</v>
          </cell>
          <cell r="Y49">
            <v>0</v>
          </cell>
          <cell r="Z49">
            <v>0</v>
          </cell>
          <cell r="AA49">
            <v>0</v>
          </cell>
          <cell r="AB49">
            <v>0</v>
          </cell>
          <cell r="AC49">
            <v>0</v>
          </cell>
          <cell r="AD49">
            <v>0</v>
          </cell>
        </row>
        <row r="50">
          <cell r="B50" t="str">
            <v>FY14-Other Cash</v>
          </cell>
          <cell r="C50" t="str">
            <v>Other Cash</v>
          </cell>
          <cell r="D50">
            <v>0</v>
          </cell>
          <cell r="E50">
            <v>0</v>
          </cell>
          <cell r="F50">
            <v>0</v>
          </cell>
          <cell r="G50">
            <v>0</v>
          </cell>
          <cell r="H50">
            <v>0</v>
          </cell>
          <cell r="I50">
            <v>0</v>
          </cell>
          <cell r="J50">
            <v>0</v>
          </cell>
          <cell r="K50">
            <v>0</v>
          </cell>
          <cell r="L50">
            <v>0</v>
          </cell>
          <cell r="M50">
            <v>0</v>
          </cell>
          <cell r="N50">
            <v>0</v>
          </cell>
          <cell r="O50">
            <v>0</v>
          </cell>
          <cell r="P50">
            <v>0</v>
          </cell>
          <cell r="R50" t="str">
            <v>FY14-Other Cash</v>
          </cell>
          <cell r="S50">
            <v>0</v>
          </cell>
          <cell r="T50">
            <v>0</v>
          </cell>
          <cell r="U50">
            <v>0</v>
          </cell>
          <cell r="V50">
            <v>0</v>
          </cell>
          <cell r="W50">
            <v>0</v>
          </cell>
          <cell r="X50">
            <v>0</v>
          </cell>
          <cell r="Y50">
            <v>0</v>
          </cell>
          <cell r="Z50">
            <v>0</v>
          </cell>
          <cell r="AA50">
            <v>0</v>
          </cell>
          <cell r="AB50">
            <v>0</v>
          </cell>
          <cell r="AC50">
            <v>0</v>
          </cell>
          <cell r="AD50">
            <v>0</v>
          </cell>
        </row>
        <row r="51">
          <cell r="B51" t="str">
            <v>FY14-Donated Resources</v>
          </cell>
          <cell r="C51" t="str">
            <v>Donated Resources</v>
          </cell>
          <cell r="D51">
            <v>250000</v>
          </cell>
          <cell r="E51">
            <v>250000</v>
          </cell>
          <cell r="F51">
            <v>250000</v>
          </cell>
          <cell r="G51">
            <v>250000</v>
          </cell>
          <cell r="H51">
            <v>250000</v>
          </cell>
          <cell r="I51">
            <v>250000</v>
          </cell>
          <cell r="J51">
            <v>250000</v>
          </cell>
          <cell r="K51">
            <v>250000</v>
          </cell>
          <cell r="L51">
            <v>250000</v>
          </cell>
          <cell r="M51">
            <v>250000</v>
          </cell>
          <cell r="N51">
            <v>250000</v>
          </cell>
          <cell r="O51">
            <v>250000</v>
          </cell>
          <cell r="P51">
            <v>3000000</v>
          </cell>
          <cell r="R51" t="str">
            <v>FY14-Donated Resources</v>
          </cell>
          <cell r="S51">
            <v>250000</v>
          </cell>
          <cell r="T51">
            <v>500000</v>
          </cell>
          <cell r="U51">
            <v>750000</v>
          </cell>
          <cell r="V51">
            <v>1000000</v>
          </cell>
          <cell r="W51">
            <v>1250000</v>
          </cell>
          <cell r="X51">
            <v>1500000</v>
          </cell>
          <cell r="Y51">
            <v>1750000</v>
          </cell>
          <cell r="Z51">
            <v>2000000</v>
          </cell>
          <cell r="AA51">
            <v>2250000</v>
          </cell>
          <cell r="AB51">
            <v>2500000</v>
          </cell>
          <cell r="AC51">
            <v>2750000</v>
          </cell>
          <cell r="AD51">
            <v>3000000</v>
          </cell>
        </row>
        <row r="52">
          <cell r="B52" t="str">
            <v>FY14-Other non-Cash</v>
          </cell>
          <cell r="C52" t="str">
            <v>Other non-Cash</v>
          </cell>
          <cell r="D52">
            <v>0</v>
          </cell>
          <cell r="E52">
            <v>0</v>
          </cell>
          <cell r="F52">
            <v>0</v>
          </cell>
          <cell r="G52">
            <v>0</v>
          </cell>
          <cell r="H52">
            <v>0</v>
          </cell>
          <cell r="I52">
            <v>0</v>
          </cell>
          <cell r="J52">
            <v>0</v>
          </cell>
          <cell r="K52">
            <v>0</v>
          </cell>
          <cell r="L52">
            <v>0</v>
          </cell>
          <cell r="M52">
            <v>0</v>
          </cell>
          <cell r="N52">
            <v>0</v>
          </cell>
          <cell r="O52">
            <v>0</v>
          </cell>
          <cell r="P52">
            <v>0</v>
          </cell>
          <cell r="R52" t="str">
            <v>FY14-Other non-Cash</v>
          </cell>
          <cell r="S52">
            <v>0</v>
          </cell>
          <cell r="T52">
            <v>0</v>
          </cell>
          <cell r="U52">
            <v>0</v>
          </cell>
          <cell r="V52">
            <v>0</v>
          </cell>
          <cell r="W52">
            <v>0</v>
          </cell>
          <cell r="X52">
            <v>0</v>
          </cell>
          <cell r="Y52">
            <v>0</v>
          </cell>
          <cell r="Z52">
            <v>0</v>
          </cell>
          <cell r="AA52">
            <v>0</v>
          </cell>
          <cell r="AB52">
            <v>0</v>
          </cell>
          <cell r="AC52">
            <v>0</v>
          </cell>
          <cell r="AD52">
            <v>0</v>
          </cell>
        </row>
        <row r="53">
          <cell r="B53" t="str">
            <v>FY14-Total Cash-Based</v>
          </cell>
          <cell r="C53" t="str">
            <v>Total Cash-Based</v>
          </cell>
          <cell r="D53">
            <v>0</v>
          </cell>
          <cell r="E53">
            <v>0</v>
          </cell>
          <cell r="F53">
            <v>0</v>
          </cell>
          <cell r="G53">
            <v>0</v>
          </cell>
          <cell r="H53">
            <v>0</v>
          </cell>
          <cell r="I53">
            <v>0</v>
          </cell>
          <cell r="J53">
            <v>0</v>
          </cell>
          <cell r="K53">
            <v>0</v>
          </cell>
          <cell r="L53">
            <v>0</v>
          </cell>
          <cell r="M53">
            <v>0</v>
          </cell>
          <cell r="N53">
            <v>0</v>
          </cell>
          <cell r="O53">
            <v>8500000</v>
          </cell>
          <cell r="P53">
            <v>8500000</v>
          </cell>
          <cell r="R53" t="str">
            <v>FY14-Total Cash-Based</v>
          </cell>
          <cell r="S53">
            <v>0</v>
          </cell>
          <cell r="T53">
            <v>0</v>
          </cell>
          <cell r="U53">
            <v>0</v>
          </cell>
          <cell r="V53">
            <v>0</v>
          </cell>
          <cell r="W53">
            <v>0</v>
          </cell>
          <cell r="X53">
            <v>0</v>
          </cell>
          <cell r="Y53">
            <v>0</v>
          </cell>
          <cell r="Z53">
            <v>0</v>
          </cell>
          <cell r="AA53">
            <v>0</v>
          </cell>
          <cell r="AB53">
            <v>0</v>
          </cell>
          <cell r="AC53">
            <v>0</v>
          </cell>
          <cell r="AD53">
            <v>8500000</v>
          </cell>
        </row>
        <row r="54">
          <cell r="B54" t="str">
            <v>FY14-Total non-Cash Based</v>
          </cell>
          <cell r="C54" t="str">
            <v>Total non-Cash Based</v>
          </cell>
          <cell r="D54">
            <v>250000</v>
          </cell>
          <cell r="E54">
            <v>250000</v>
          </cell>
          <cell r="F54">
            <v>250000</v>
          </cell>
          <cell r="G54">
            <v>250000</v>
          </cell>
          <cell r="H54">
            <v>250000</v>
          </cell>
          <cell r="I54">
            <v>250000</v>
          </cell>
          <cell r="J54">
            <v>250000</v>
          </cell>
          <cell r="K54">
            <v>250000</v>
          </cell>
          <cell r="L54">
            <v>250000</v>
          </cell>
          <cell r="M54">
            <v>250000</v>
          </cell>
          <cell r="N54">
            <v>250000</v>
          </cell>
          <cell r="O54">
            <v>250000</v>
          </cell>
          <cell r="P54">
            <v>3000000</v>
          </cell>
          <cell r="R54" t="str">
            <v>FY14-Total non-Cash Based</v>
          </cell>
          <cell r="S54">
            <v>250000</v>
          </cell>
          <cell r="T54">
            <v>500000</v>
          </cell>
          <cell r="U54">
            <v>750000</v>
          </cell>
          <cell r="V54">
            <v>1000000</v>
          </cell>
          <cell r="W54">
            <v>1250000</v>
          </cell>
          <cell r="X54">
            <v>1500000</v>
          </cell>
          <cell r="Y54">
            <v>1750000</v>
          </cell>
          <cell r="Z54">
            <v>2000000</v>
          </cell>
          <cell r="AA54">
            <v>2250000</v>
          </cell>
          <cell r="AB54">
            <v>2500000</v>
          </cell>
          <cell r="AC54">
            <v>2750000</v>
          </cell>
          <cell r="AD54">
            <v>3000000</v>
          </cell>
        </row>
        <row r="55">
          <cell r="B55" t="str">
            <v>FY14-Grand total</v>
          </cell>
          <cell r="C55" t="str">
            <v>Grand total</v>
          </cell>
          <cell r="D55">
            <v>250000</v>
          </cell>
          <cell r="E55">
            <v>250000</v>
          </cell>
          <cell r="F55">
            <v>250000</v>
          </cell>
          <cell r="G55">
            <v>250000</v>
          </cell>
          <cell r="H55">
            <v>250000</v>
          </cell>
          <cell r="I55">
            <v>250000</v>
          </cell>
          <cell r="J55">
            <v>250000</v>
          </cell>
          <cell r="K55">
            <v>250000</v>
          </cell>
          <cell r="L55">
            <v>250000</v>
          </cell>
          <cell r="M55">
            <v>250000</v>
          </cell>
          <cell r="N55">
            <v>250000</v>
          </cell>
          <cell r="O55">
            <v>8750000</v>
          </cell>
          <cell r="P55">
            <v>11500000</v>
          </cell>
          <cell r="R55" t="str">
            <v>FY14-Grand total</v>
          </cell>
          <cell r="S55">
            <v>250000</v>
          </cell>
          <cell r="T55">
            <v>500000</v>
          </cell>
          <cell r="U55">
            <v>750000</v>
          </cell>
          <cell r="V55">
            <v>1000000</v>
          </cell>
          <cell r="W55">
            <v>1250000</v>
          </cell>
          <cell r="X55">
            <v>1500000</v>
          </cell>
          <cell r="Y55">
            <v>1750000</v>
          </cell>
          <cell r="Z55">
            <v>2000000</v>
          </cell>
          <cell r="AA55">
            <v>2250000</v>
          </cell>
          <cell r="AB55">
            <v>2500000</v>
          </cell>
          <cell r="AC55">
            <v>2750000</v>
          </cell>
          <cell r="AD55">
            <v>11500000</v>
          </cell>
        </row>
        <row r="56">
          <cell r="B56" t="str">
            <v>FY15-Univ PBA</v>
          </cell>
          <cell r="C56" t="str">
            <v>Univ PBA</v>
          </cell>
          <cell r="D56">
            <v>0</v>
          </cell>
          <cell r="E56">
            <v>0</v>
          </cell>
          <cell r="F56">
            <v>0</v>
          </cell>
          <cell r="G56">
            <v>0</v>
          </cell>
          <cell r="H56">
            <v>0</v>
          </cell>
          <cell r="I56">
            <v>0</v>
          </cell>
          <cell r="J56">
            <v>0</v>
          </cell>
          <cell r="K56">
            <v>0</v>
          </cell>
          <cell r="L56">
            <v>0</v>
          </cell>
          <cell r="M56">
            <v>0</v>
          </cell>
          <cell r="N56">
            <v>0</v>
          </cell>
          <cell r="O56">
            <v>0</v>
          </cell>
          <cell r="P56">
            <v>0</v>
          </cell>
          <cell r="R56" t="str">
            <v>FY15-Univ PBA</v>
          </cell>
          <cell r="S56">
            <v>0</v>
          </cell>
          <cell r="T56">
            <v>0</v>
          </cell>
          <cell r="U56">
            <v>0</v>
          </cell>
          <cell r="V56">
            <v>0</v>
          </cell>
          <cell r="W56">
            <v>0</v>
          </cell>
          <cell r="X56">
            <v>0</v>
          </cell>
          <cell r="Y56">
            <v>0</v>
          </cell>
          <cell r="Z56">
            <v>0</v>
          </cell>
          <cell r="AA56">
            <v>0</v>
          </cell>
          <cell r="AB56">
            <v>0</v>
          </cell>
          <cell r="AC56">
            <v>0</v>
          </cell>
          <cell r="AD56">
            <v>0</v>
          </cell>
        </row>
        <row r="57">
          <cell r="B57" t="str">
            <v>FY15-Univ Cash</v>
          </cell>
          <cell r="C57" t="str">
            <v>Univ Cash</v>
          </cell>
          <cell r="D57">
            <v>0</v>
          </cell>
          <cell r="E57">
            <v>0</v>
          </cell>
          <cell r="F57">
            <v>0</v>
          </cell>
          <cell r="G57">
            <v>0</v>
          </cell>
          <cell r="H57">
            <v>0</v>
          </cell>
          <cell r="I57">
            <v>0</v>
          </cell>
          <cell r="J57">
            <v>0</v>
          </cell>
          <cell r="K57">
            <v>0</v>
          </cell>
          <cell r="L57">
            <v>0</v>
          </cell>
          <cell r="M57">
            <v>0</v>
          </cell>
          <cell r="N57">
            <v>0</v>
          </cell>
          <cell r="O57">
            <v>0</v>
          </cell>
          <cell r="P57">
            <v>0</v>
          </cell>
          <cell r="R57" t="str">
            <v>FY15-Univ Cash</v>
          </cell>
          <cell r="S57">
            <v>0</v>
          </cell>
          <cell r="T57">
            <v>0</v>
          </cell>
          <cell r="U57">
            <v>0</v>
          </cell>
          <cell r="V57">
            <v>0</v>
          </cell>
          <cell r="W57">
            <v>0</v>
          </cell>
          <cell r="X57">
            <v>0</v>
          </cell>
          <cell r="Y57">
            <v>0</v>
          </cell>
          <cell r="Z57">
            <v>0</v>
          </cell>
          <cell r="AA57">
            <v>0</v>
          </cell>
          <cell r="AB57">
            <v>0</v>
          </cell>
          <cell r="AC57">
            <v>0</v>
          </cell>
          <cell r="AD57">
            <v>0</v>
          </cell>
        </row>
        <row r="58">
          <cell r="B58" t="str">
            <v>FY15-CIO PBA</v>
          </cell>
          <cell r="C58" t="str">
            <v>CIO PBA</v>
          </cell>
          <cell r="D58">
            <v>0</v>
          </cell>
          <cell r="E58">
            <v>0</v>
          </cell>
          <cell r="F58">
            <v>0</v>
          </cell>
          <cell r="G58">
            <v>0</v>
          </cell>
          <cell r="H58">
            <v>0</v>
          </cell>
          <cell r="I58">
            <v>0</v>
          </cell>
          <cell r="J58">
            <v>0</v>
          </cell>
          <cell r="K58">
            <v>0</v>
          </cell>
          <cell r="L58">
            <v>0</v>
          </cell>
          <cell r="M58">
            <v>0</v>
          </cell>
          <cell r="N58">
            <v>0</v>
          </cell>
          <cell r="O58">
            <v>0</v>
          </cell>
          <cell r="P58">
            <v>0</v>
          </cell>
          <cell r="R58" t="str">
            <v>FY15-CIO PBA</v>
          </cell>
          <cell r="S58">
            <v>0</v>
          </cell>
          <cell r="T58">
            <v>0</v>
          </cell>
          <cell r="U58">
            <v>0</v>
          </cell>
          <cell r="V58">
            <v>0</v>
          </cell>
          <cell r="W58">
            <v>0</v>
          </cell>
          <cell r="X58">
            <v>0</v>
          </cell>
          <cell r="Y58">
            <v>0</v>
          </cell>
          <cell r="Z58">
            <v>0</v>
          </cell>
          <cell r="AA58">
            <v>0</v>
          </cell>
          <cell r="AB58">
            <v>0</v>
          </cell>
          <cell r="AC58">
            <v>0</v>
          </cell>
          <cell r="AD58">
            <v>0</v>
          </cell>
        </row>
        <row r="59">
          <cell r="B59" t="str">
            <v>FY15-CIO Cash</v>
          </cell>
          <cell r="C59" t="str">
            <v>CIO Cash</v>
          </cell>
          <cell r="D59">
            <v>0</v>
          </cell>
          <cell r="E59">
            <v>0</v>
          </cell>
          <cell r="F59">
            <v>0</v>
          </cell>
          <cell r="G59">
            <v>0</v>
          </cell>
          <cell r="H59">
            <v>0</v>
          </cell>
          <cell r="I59">
            <v>0</v>
          </cell>
          <cell r="J59">
            <v>0</v>
          </cell>
          <cell r="K59">
            <v>0</v>
          </cell>
          <cell r="L59">
            <v>0</v>
          </cell>
          <cell r="M59">
            <v>0</v>
          </cell>
          <cell r="N59">
            <v>0</v>
          </cell>
          <cell r="O59">
            <v>0</v>
          </cell>
          <cell r="P59">
            <v>0</v>
          </cell>
          <cell r="R59" t="str">
            <v>FY15-CIO Cash</v>
          </cell>
          <cell r="S59">
            <v>0</v>
          </cell>
          <cell r="T59">
            <v>0</v>
          </cell>
          <cell r="U59">
            <v>0</v>
          </cell>
          <cell r="V59">
            <v>0</v>
          </cell>
          <cell r="W59">
            <v>0</v>
          </cell>
          <cell r="X59">
            <v>0</v>
          </cell>
          <cell r="Y59">
            <v>0</v>
          </cell>
          <cell r="Z59">
            <v>0</v>
          </cell>
          <cell r="AA59">
            <v>0</v>
          </cell>
          <cell r="AB59">
            <v>0</v>
          </cell>
          <cell r="AC59">
            <v>0</v>
          </cell>
          <cell r="AD59">
            <v>0</v>
          </cell>
        </row>
        <row r="60">
          <cell r="B60" t="str">
            <v>FY15-Other Cash</v>
          </cell>
          <cell r="C60" t="str">
            <v>Other Cash</v>
          </cell>
          <cell r="D60">
            <v>0</v>
          </cell>
          <cell r="E60">
            <v>0</v>
          </cell>
          <cell r="F60">
            <v>0</v>
          </cell>
          <cell r="G60">
            <v>0</v>
          </cell>
          <cell r="H60">
            <v>0</v>
          </cell>
          <cell r="I60">
            <v>0</v>
          </cell>
          <cell r="J60">
            <v>0</v>
          </cell>
          <cell r="K60">
            <v>0</v>
          </cell>
          <cell r="L60">
            <v>0</v>
          </cell>
          <cell r="M60">
            <v>0</v>
          </cell>
          <cell r="N60">
            <v>0</v>
          </cell>
          <cell r="O60">
            <v>0</v>
          </cell>
          <cell r="P60">
            <v>0</v>
          </cell>
          <cell r="R60" t="str">
            <v>FY15-Other Cash</v>
          </cell>
          <cell r="S60">
            <v>0</v>
          </cell>
          <cell r="T60">
            <v>0</v>
          </cell>
          <cell r="U60">
            <v>0</v>
          </cell>
          <cell r="V60">
            <v>0</v>
          </cell>
          <cell r="W60">
            <v>0</v>
          </cell>
          <cell r="X60">
            <v>0</v>
          </cell>
          <cell r="Y60">
            <v>0</v>
          </cell>
          <cell r="Z60">
            <v>0</v>
          </cell>
          <cell r="AA60">
            <v>0</v>
          </cell>
          <cell r="AB60">
            <v>0</v>
          </cell>
          <cell r="AC60">
            <v>0</v>
          </cell>
          <cell r="AD60">
            <v>0</v>
          </cell>
        </row>
        <row r="61">
          <cell r="B61" t="str">
            <v>FY15-Donated Resources</v>
          </cell>
          <cell r="C61" t="str">
            <v>Donated Resources</v>
          </cell>
          <cell r="D61">
            <v>0</v>
          </cell>
          <cell r="E61">
            <v>0</v>
          </cell>
          <cell r="F61">
            <v>0</v>
          </cell>
          <cell r="G61">
            <v>0</v>
          </cell>
          <cell r="H61">
            <v>0</v>
          </cell>
          <cell r="I61">
            <v>0</v>
          </cell>
          <cell r="J61">
            <v>0</v>
          </cell>
          <cell r="K61">
            <v>0</v>
          </cell>
          <cell r="L61">
            <v>0</v>
          </cell>
          <cell r="M61">
            <v>0</v>
          </cell>
          <cell r="N61">
            <v>0</v>
          </cell>
          <cell r="O61">
            <v>0</v>
          </cell>
          <cell r="P61">
            <v>0</v>
          </cell>
          <cell r="R61" t="str">
            <v>FY15-Donated Resources</v>
          </cell>
          <cell r="S61">
            <v>0</v>
          </cell>
          <cell r="T61">
            <v>0</v>
          </cell>
          <cell r="U61">
            <v>0</v>
          </cell>
          <cell r="V61">
            <v>0</v>
          </cell>
          <cell r="W61">
            <v>0</v>
          </cell>
          <cell r="X61">
            <v>0</v>
          </cell>
          <cell r="Y61">
            <v>0</v>
          </cell>
          <cell r="Z61">
            <v>0</v>
          </cell>
          <cell r="AA61">
            <v>0</v>
          </cell>
          <cell r="AB61">
            <v>0</v>
          </cell>
          <cell r="AC61">
            <v>0</v>
          </cell>
          <cell r="AD61">
            <v>0</v>
          </cell>
        </row>
        <row r="62">
          <cell r="B62" t="str">
            <v>FY15-Other non-Cash</v>
          </cell>
          <cell r="C62" t="str">
            <v>Other non-Cash</v>
          </cell>
          <cell r="D62">
            <v>0</v>
          </cell>
          <cell r="E62">
            <v>0</v>
          </cell>
          <cell r="F62">
            <v>0</v>
          </cell>
          <cell r="G62">
            <v>0</v>
          </cell>
          <cell r="H62">
            <v>0</v>
          </cell>
          <cell r="I62">
            <v>0</v>
          </cell>
          <cell r="J62">
            <v>0</v>
          </cell>
          <cell r="K62">
            <v>0</v>
          </cell>
          <cell r="L62">
            <v>0</v>
          </cell>
          <cell r="M62">
            <v>0</v>
          </cell>
          <cell r="N62">
            <v>0</v>
          </cell>
          <cell r="O62">
            <v>0</v>
          </cell>
          <cell r="P62">
            <v>0</v>
          </cell>
          <cell r="R62" t="str">
            <v>FY15-Other non-Cash</v>
          </cell>
          <cell r="S62">
            <v>0</v>
          </cell>
          <cell r="T62">
            <v>0</v>
          </cell>
          <cell r="U62">
            <v>0</v>
          </cell>
          <cell r="V62">
            <v>0</v>
          </cell>
          <cell r="W62">
            <v>0</v>
          </cell>
          <cell r="X62">
            <v>0</v>
          </cell>
          <cell r="Y62">
            <v>0</v>
          </cell>
          <cell r="Z62">
            <v>0</v>
          </cell>
          <cell r="AA62">
            <v>0</v>
          </cell>
          <cell r="AB62">
            <v>0</v>
          </cell>
          <cell r="AC62">
            <v>0</v>
          </cell>
          <cell r="AD62">
            <v>0</v>
          </cell>
        </row>
        <row r="63">
          <cell r="B63" t="str">
            <v>FY15-Total Cash-Based</v>
          </cell>
          <cell r="C63" t="str">
            <v>Total Cash-Based</v>
          </cell>
          <cell r="D63">
            <v>0</v>
          </cell>
          <cell r="E63">
            <v>0</v>
          </cell>
          <cell r="F63">
            <v>0</v>
          </cell>
          <cell r="G63">
            <v>0</v>
          </cell>
          <cell r="H63">
            <v>0</v>
          </cell>
          <cell r="I63">
            <v>0</v>
          </cell>
          <cell r="J63">
            <v>0</v>
          </cell>
          <cell r="K63">
            <v>0</v>
          </cell>
          <cell r="L63">
            <v>0</v>
          </cell>
          <cell r="M63">
            <v>0</v>
          </cell>
          <cell r="N63">
            <v>0</v>
          </cell>
          <cell r="O63">
            <v>0</v>
          </cell>
          <cell r="P63">
            <v>0</v>
          </cell>
          <cell r="R63" t="str">
            <v>FY15-Total Cash-Based</v>
          </cell>
          <cell r="S63">
            <v>0</v>
          </cell>
          <cell r="T63">
            <v>0</v>
          </cell>
          <cell r="U63">
            <v>0</v>
          </cell>
          <cell r="V63">
            <v>0</v>
          </cell>
          <cell r="W63">
            <v>0</v>
          </cell>
          <cell r="X63">
            <v>0</v>
          </cell>
          <cell r="Y63">
            <v>0</v>
          </cell>
          <cell r="Z63">
            <v>0</v>
          </cell>
          <cell r="AA63">
            <v>0</v>
          </cell>
          <cell r="AB63">
            <v>0</v>
          </cell>
          <cell r="AC63">
            <v>0</v>
          </cell>
          <cell r="AD63">
            <v>0</v>
          </cell>
        </row>
        <row r="64">
          <cell r="B64" t="str">
            <v>FY15-Total non-Cash Based</v>
          </cell>
          <cell r="C64" t="str">
            <v>Total non-Cash Based</v>
          </cell>
          <cell r="D64">
            <v>0</v>
          </cell>
          <cell r="E64">
            <v>0</v>
          </cell>
          <cell r="F64">
            <v>0</v>
          </cell>
          <cell r="G64">
            <v>0</v>
          </cell>
          <cell r="H64">
            <v>0</v>
          </cell>
          <cell r="I64">
            <v>0</v>
          </cell>
          <cell r="J64">
            <v>0</v>
          </cell>
          <cell r="K64">
            <v>0</v>
          </cell>
          <cell r="L64">
            <v>0</v>
          </cell>
          <cell r="M64">
            <v>0</v>
          </cell>
          <cell r="N64">
            <v>0</v>
          </cell>
          <cell r="O64">
            <v>0</v>
          </cell>
          <cell r="P64">
            <v>0</v>
          </cell>
          <cell r="R64" t="str">
            <v>FY15-Total non-Cash Based</v>
          </cell>
          <cell r="S64">
            <v>0</v>
          </cell>
          <cell r="T64">
            <v>0</v>
          </cell>
          <cell r="U64">
            <v>0</v>
          </cell>
          <cell r="V64">
            <v>0</v>
          </cell>
          <cell r="W64">
            <v>0</v>
          </cell>
          <cell r="X64">
            <v>0</v>
          </cell>
          <cell r="Y64">
            <v>0</v>
          </cell>
          <cell r="Z64">
            <v>0</v>
          </cell>
          <cell r="AA64">
            <v>0</v>
          </cell>
          <cell r="AB64">
            <v>0</v>
          </cell>
          <cell r="AC64">
            <v>0</v>
          </cell>
          <cell r="AD64">
            <v>0</v>
          </cell>
        </row>
        <row r="65">
          <cell r="B65" t="str">
            <v>FY15-Grand total</v>
          </cell>
          <cell r="C65" t="str">
            <v>Grand total</v>
          </cell>
          <cell r="D65">
            <v>0</v>
          </cell>
          <cell r="E65">
            <v>0</v>
          </cell>
          <cell r="F65">
            <v>0</v>
          </cell>
          <cell r="G65">
            <v>0</v>
          </cell>
          <cell r="H65">
            <v>0</v>
          </cell>
          <cell r="I65">
            <v>0</v>
          </cell>
          <cell r="J65">
            <v>0</v>
          </cell>
          <cell r="K65">
            <v>0</v>
          </cell>
          <cell r="L65">
            <v>0</v>
          </cell>
          <cell r="M65">
            <v>0</v>
          </cell>
          <cell r="N65">
            <v>0</v>
          </cell>
          <cell r="O65">
            <v>0</v>
          </cell>
          <cell r="P65">
            <v>0</v>
          </cell>
          <cell r="R65" t="str">
            <v>FY15-Grand total</v>
          </cell>
          <cell r="S65">
            <v>0</v>
          </cell>
          <cell r="T65">
            <v>0</v>
          </cell>
          <cell r="U65">
            <v>0</v>
          </cell>
          <cell r="V65">
            <v>0</v>
          </cell>
          <cell r="W65">
            <v>0</v>
          </cell>
          <cell r="X65">
            <v>0</v>
          </cell>
          <cell r="Y65">
            <v>0</v>
          </cell>
          <cell r="Z65">
            <v>0</v>
          </cell>
          <cell r="AA65">
            <v>0</v>
          </cell>
          <cell r="AB65">
            <v>0</v>
          </cell>
          <cell r="AC65">
            <v>0</v>
          </cell>
          <cell r="AD65">
            <v>0</v>
          </cell>
        </row>
        <row r="67">
          <cell r="B67" t="str">
            <v>Total-Univ PBA</v>
          </cell>
          <cell r="C67" t="str">
            <v>Univ PBA</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Total-Univ Cash</v>
          </cell>
          <cell r="C68" t="str">
            <v>Univ Cash</v>
          </cell>
          <cell r="D68">
            <v>0</v>
          </cell>
          <cell r="E68">
            <v>0</v>
          </cell>
          <cell r="F68">
            <v>0</v>
          </cell>
          <cell r="G68">
            <v>0</v>
          </cell>
          <cell r="H68">
            <v>0</v>
          </cell>
          <cell r="I68">
            <v>0</v>
          </cell>
          <cell r="J68">
            <v>0</v>
          </cell>
          <cell r="K68">
            <v>0</v>
          </cell>
          <cell r="L68">
            <v>0</v>
          </cell>
          <cell r="M68">
            <v>0</v>
          </cell>
          <cell r="N68">
            <v>0</v>
          </cell>
          <cell r="O68">
            <v>18500000</v>
          </cell>
          <cell r="P68">
            <v>18500000</v>
          </cell>
        </row>
        <row r="69">
          <cell r="B69" t="str">
            <v>Total-CIO PBA</v>
          </cell>
          <cell r="C69" t="str">
            <v>CIO PBA</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Total-CIO Cash</v>
          </cell>
          <cell r="C70" t="str">
            <v>CIO Cash</v>
          </cell>
          <cell r="D70">
            <v>0</v>
          </cell>
          <cell r="E70">
            <v>0</v>
          </cell>
          <cell r="F70">
            <v>0</v>
          </cell>
          <cell r="G70">
            <v>0</v>
          </cell>
          <cell r="H70">
            <v>0</v>
          </cell>
          <cell r="I70">
            <v>0</v>
          </cell>
          <cell r="J70">
            <v>0</v>
          </cell>
          <cell r="K70">
            <v>0</v>
          </cell>
          <cell r="L70">
            <v>0</v>
          </cell>
          <cell r="M70">
            <v>0</v>
          </cell>
          <cell r="N70">
            <v>0</v>
          </cell>
          <cell r="O70">
            <v>0</v>
          </cell>
          <cell r="P70">
            <v>0</v>
          </cell>
        </row>
        <row r="71">
          <cell r="B71" t="str">
            <v>Total-Other Cash</v>
          </cell>
          <cell r="C71" t="str">
            <v>Other Cash</v>
          </cell>
          <cell r="D71">
            <v>0</v>
          </cell>
          <cell r="E71">
            <v>0</v>
          </cell>
          <cell r="F71">
            <v>0</v>
          </cell>
          <cell r="G71">
            <v>0</v>
          </cell>
          <cell r="H71">
            <v>0</v>
          </cell>
          <cell r="I71">
            <v>0</v>
          </cell>
          <cell r="J71">
            <v>0</v>
          </cell>
          <cell r="K71">
            <v>0</v>
          </cell>
          <cell r="L71">
            <v>0</v>
          </cell>
          <cell r="M71">
            <v>0</v>
          </cell>
          <cell r="N71">
            <v>0</v>
          </cell>
          <cell r="O71">
            <v>0</v>
          </cell>
          <cell r="P71">
            <v>0</v>
          </cell>
        </row>
        <row r="72">
          <cell r="B72" t="str">
            <v>Total-Donated Resources</v>
          </cell>
          <cell r="C72" t="str">
            <v>Donated Resources</v>
          </cell>
          <cell r="D72">
            <v>333333.33333333331</v>
          </cell>
          <cell r="E72">
            <v>333333.33333333331</v>
          </cell>
          <cell r="F72">
            <v>333333.33333333331</v>
          </cell>
          <cell r="G72">
            <v>333333.33333333331</v>
          </cell>
          <cell r="H72">
            <v>333333.33333333331</v>
          </cell>
          <cell r="I72">
            <v>333333.33333333331</v>
          </cell>
          <cell r="J72">
            <v>333333.33333333331</v>
          </cell>
          <cell r="K72">
            <v>333333.33333333331</v>
          </cell>
          <cell r="L72">
            <v>333333.33333333331</v>
          </cell>
          <cell r="M72">
            <v>333333.33333333331</v>
          </cell>
          <cell r="N72">
            <v>333333.33333333331</v>
          </cell>
          <cell r="O72">
            <v>333333.33333333331</v>
          </cell>
          <cell r="P72">
            <v>4000000.0000000005</v>
          </cell>
        </row>
        <row r="73">
          <cell r="B73" t="str">
            <v>Total-Other non-Cash</v>
          </cell>
          <cell r="C73" t="str">
            <v>Other non-Cash</v>
          </cell>
          <cell r="D73">
            <v>0</v>
          </cell>
          <cell r="E73">
            <v>0</v>
          </cell>
          <cell r="F73">
            <v>0</v>
          </cell>
          <cell r="G73">
            <v>0</v>
          </cell>
          <cell r="H73">
            <v>0</v>
          </cell>
          <cell r="I73">
            <v>0</v>
          </cell>
          <cell r="J73">
            <v>0</v>
          </cell>
          <cell r="K73">
            <v>0</v>
          </cell>
          <cell r="L73">
            <v>0</v>
          </cell>
          <cell r="M73">
            <v>0</v>
          </cell>
          <cell r="N73">
            <v>0</v>
          </cell>
          <cell r="O73">
            <v>0</v>
          </cell>
          <cell r="P73">
            <v>0</v>
          </cell>
        </row>
        <row r="74">
          <cell r="B74" t="str">
            <v>Total-Total Cash-Based</v>
          </cell>
          <cell r="C74" t="str">
            <v>Total Cash-Based</v>
          </cell>
          <cell r="D74">
            <v>0</v>
          </cell>
          <cell r="E74">
            <v>0</v>
          </cell>
          <cell r="F74">
            <v>0</v>
          </cell>
          <cell r="G74">
            <v>0</v>
          </cell>
          <cell r="H74">
            <v>0</v>
          </cell>
          <cell r="I74">
            <v>0</v>
          </cell>
          <cell r="J74">
            <v>0</v>
          </cell>
          <cell r="K74">
            <v>0</v>
          </cell>
          <cell r="L74">
            <v>0</v>
          </cell>
          <cell r="M74">
            <v>0</v>
          </cell>
          <cell r="N74">
            <v>0</v>
          </cell>
          <cell r="O74">
            <v>18500000</v>
          </cell>
          <cell r="P74">
            <v>18500000</v>
          </cell>
        </row>
        <row r="75">
          <cell r="B75" t="str">
            <v>Total-Total non-Cash Based</v>
          </cell>
          <cell r="C75" t="str">
            <v>Total non-Cash Based</v>
          </cell>
          <cell r="D75">
            <v>333333.33333333331</v>
          </cell>
          <cell r="E75">
            <v>333333.33333333331</v>
          </cell>
          <cell r="F75">
            <v>333333.33333333331</v>
          </cell>
          <cell r="G75">
            <v>333333.33333333331</v>
          </cell>
          <cell r="H75">
            <v>333333.33333333331</v>
          </cell>
          <cell r="I75">
            <v>333333.33333333331</v>
          </cell>
          <cell r="J75">
            <v>333333.33333333331</v>
          </cell>
          <cell r="K75">
            <v>333333.33333333331</v>
          </cell>
          <cell r="L75">
            <v>333333.33333333331</v>
          </cell>
          <cell r="M75">
            <v>333333.33333333331</v>
          </cell>
          <cell r="N75">
            <v>333333.33333333331</v>
          </cell>
          <cell r="O75">
            <v>333333.33333333331</v>
          </cell>
          <cell r="P75">
            <v>4000000.0000000005</v>
          </cell>
        </row>
        <row r="76">
          <cell r="B76" t="str">
            <v>Total-Grand total</v>
          </cell>
          <cell r="C76" t="str">
            <v>Grand total</v>
          </cell>
          <cell r="D76">
            <v>333333.33333333331</v>
          </cell>
          <cell r="E76">
            <v>333333.33333333331</v>
          </cell>
          <cell r="F76">
            <v>333333.33333333331</v>
          </cell>
          <cell r="G76">
            <v>333333.33333333331</v>
          </cell>
          <cell r="H76">
            <v>333333.33333333331</v>
          </cell>
          <cell r="I76">
            <v>333333.33333333331</v>
          </cell>
          <cell r="J76">
            <v>333333.33333333331</v>
          </cell>
          <cell r="K76">
            <v>333333.33333333331</v>
          </cell>
          <cell r="L76">
            <v>333333.33333333331</v>
          </cell>
          <cell r="M76">
            <v>333333.33333333331</v>
          </cell>
          <cell r="N76">
            <v>333333.33333333331</v>
          </cell>
          <cell r="O76">
            <v>18833333.333333332</v>
          </cell>
          <cell r="P76">
            <v>22500000</v>
          </cell>
        </row>
      </sheetData>
      <sheetData sheetId="12">
        <row r="4">
          <cell r="P4">
            <v>0</v>
          </cell>
        </row>
      </sheetData>
      <sheetData sheetId="13" refreshError="1"/>
      <sheetData sheetId="14">
        <row r="2">
          <cell r="F2">
            <v>12</v>
          </cell>
          <cell r="G2">
            <v>24</v>
          </cell>
        </row>
        <row r="5">
          <cell r="F5">
            <v>41455</v>
          </cell>
          <cell r="I5" t="str">
            <v>FY13</v>
          </cell>
        </row>
        <row r="11">
          <cell r="F11" t="str">
            <v>FY13-Non-Labor Cost</v>
          </cell>
        </row>
        <row r="12">
          <cell r="F12" t="str">
            <v>FY13-Cash Labor Costs</v>
          </cell>
        </row>
        <row r="13">
          <cell r="F13" t="str">
            <v>FY13-Non-Cash Labor Costs</v>
          </cell>
        </row>
        <row r="14">
          <cell r="F14" t="str">
            <v>FY13-Cash Labor Hours</v>
          </cell>
        </row>
        <row r="15">
          <cell r="F15" t="str">
            <v>FY13-Non-Cash Labor Hours</v>
          </cell>
        </row>
        <row r="23">
          <cell r="F23" t="str">
            <v>FY13-Total Cash-Based</v>
          </cell>
        </row>
        <row r="24">
          <cell r="F24" t="str">
            <v>FY13-Total non-Cash Based</v>
          </cell>
        </row>
      </sheetData>
      <sheetData sheetId="15">
        <row r="270">
          <cell r="U270">
            <v>422543.60500000016</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7"/>
  <sheetViews>
    <sheetView showGridLines="0" tabSelected="1" view="pageLayout" zoomScale="110" zoomScaleNormal="100" zoomScalePageLayoutView="110" workbookViewId="0">
      <selection activeCell="F1" sqref="F1"/>
    </sheetView>
  </sheetViews>
  <sheetFormatPr defaultColWidth="9.109375" defaultRowHeight="13.8" x14ac:dyDescent="0.3"/>
  <cols>
    <col min="1" max="1" width="27.109375" style="1" bestFit="1" customWidth="1"/>
    <col min="2" max="6" width="17" style="1" customWidth="1"/>
    <col min="7" max="7" width="7.44140625" style="1" customWidth="1"/>
    <col min="8" max="16384" width="9.109375" style="1"/>
  </cols>
  <sheetData>
    <row r="1" spans="1:6" ht="15" thickTop="1" x14ac:dyDescent="0.3">
      <c r="A1" s="30" t="s">
        <v>0</v>
      </c>
      <c r="B1" s="428"/>
      <c r="C1" s="429"/>
      <c r="D1" s="430"/>
      <c r="E1" s="32"/>
    </row>
    <row r="2" spans="1:6" ht="14.4" x14ac:dyDescent="0.3">
      <c r="A2" s="37" t="s">
        <v>1</v>
      </c>
      <c r="B2" s="431"/>
      <c r="C2" s="432"/>
      <c r="D2" s="433"/>
      <c r="E2" s="32"/>
    </row>
    <row r="3" spans="1:6" ht="14.4" x14ac:dyDescent="0.3">
      <c r="A3" s="37" t="s">
        <v>73</v>
      </c>
      <c r="B3" s="434"/>
      <c r="C3" s="435"/>
      <c r="D3" s="436"/>
      <c r="E3" s="32"/>
    </row>
    <row r="4" spans="1:6" ht="15" customHeight="1" x14ac:dyDescent="0.3">
      <c r="A4" s="37" t="s">
        <v>72</v>
      </c>
      <c r="B4" s="434"/>
      <c r="C4" s="435"/>
      <c r="D4" s="436"/>
      <c r="E4" s="32"/>
    </row>
    <row r="5" spans="1:6" ht="14.4" x14ac:dyDescent="0.3">
      <c r="A5" s="37" t="s">
        <v>51</v>
      </c>
      <c r="B5" s="434"/>
      <c r="C5" s="435"/>
      <c r="D5" s="436"/>
      <c r="E5" s="33"/>
    </row>
    <row r="6" spans="1:6" ht="14.4" x14ac:dyDescent="0.3">
      <c r="A6" s="37" t="s">
        <v>74</v>
      </c>
      <c r="B6" s="437"/>
      <c r="C6" s="435"/>
      <c r="D6" s="436"/>
      <c r="E6" s="33"/>
    </row>
    <row r="7" spans="1:6" ht="15" thickBot="1" x14ac:dyDescent="0.35">
      <c r="A7" s="38" t="s">
        <v>111</v>
      </c>
      <c r="B7" s="437"/>
      <c r="C7" s="435"/>
      <c r="D7" s="436"/>
      <c r="E7" s="33"/>
    </row>
    <row r="8" spans="1:6" ht="10.5" customHeight="1" thickTop="1" thickBot="1" x14ac:dyDescent="0.35"/>
    <row r="9" spans="1:6" s="3" customFormat="1" ht="20.25" customHeight="1" thickTop="1" thickBot="1" x14ac:dyDescent="0.35">
      <c r="A9" s="425" t="s">
        <v>75</v>
      </c>
      <c r="B9" s="426"/>
      <c r="C9" s="426"/>
      <c r="D9" s="426"/>
      <c r="E9" s="426"/>
      <c r="F9" s="427"/>
    </row>
    <row r="10" spans="1:6" s="4" customFormat="1" ht="42" customHeight="1" thickTop="1" thickBot="1" x14ac:dyDescent="0.35">
      <c r="A10" s="230"/>
      <c r="B10" s="231" t="s">
        <v>80</v>
      </c>
      <c r="C10" s="231" t="s">
        <v>79</v>
      </c>
      <c r="D10" s="231" t="s">
        <v>89</v>
      </c>
      <c r="E10" s="231" t="s">
        <v>53</v>
      </c>
      <c r="F10" s="231" t="s">
        <v>54</v>
      </c>
    </row>
    <row r="11" spans="1:6" ht="16.5" customHeight="1" thickTop="1" x14ac:dyDescent="0.3">
      <c r="A11" s="423" t="s">
        <v>2</v>
      </c>
      <c r="B11" s="423"/>
      <c r="C11" s="423"/>
      <c r="D11" s="423"/>
      <c r="E11" s="423"/>
      <c r="F11" s="423"/>
    </row>
    <row r="12" spans="1:6" x14ac:dyDescent="0.3">
      <c r="A12" s="222" t="s">
        <v>185</v>
      </c>
      <c r="B12" s="100">
        <f>'FY-1 Summary'!B13+'FY-2 Summary'!B13+'FY-3 Summary'!B13</f>
        <v>0</v>
      </c>
      <c r="C12" s="100">
        <f>'FY-1 Summary'!C13+'FY-2 Summary'!C13+'FY-3 Summary'!C13</f>
        <v>0</v>
      </c>
      <c r="D12" s="100">
        <f>'FY-1 Summary'!D13+'FY-2 Summary'!D13+'FY-3 Summary'!D13</f>
        <v>0</v>
      </c>
      <c r="E12" s="100">
        <f t="shared" ref="E12:E14" si="0">C12+D12</f>
        <v>0</v>
      </c>
      <c r="F12" s="100">
        <f>B12-E12</f>
        <v>0</v>
      </c>
    </row>
    <row r="13" spans="1:6" x14ac:dyDescent="0.3">
      <c r="A13" s="222" t="s">
        <v>186</v>
      </c>
      <c r="B13" s="100">
        <f>'FY-1 Summary'!B14+'FY-1 Summary'!B14+'FY-3 Summary'!B14</f>
        <v>0</v>
      </c>
      <c r="C13" s="100">
        <f>'FY-1 Summary'!C14+'FY-1 Summary'!C14+'FY-3 Summary'!C14</f>
        <v>0</v>
      </c>
      <c r="D13" s="100">
        <f>'FY-1 Summary'!D14+'FY-1 Summary'!D14+'FY-3 Summary'!D14</f>
        <v>0</v>
      </c>
      <c r="E13" s="100">
        <f t="shared" si="0"/>
        <v>0</v>
      </c>
      <c r="F13" s="100">
        <f t="shared" ref="F13:F14" si="1">B13-E13</f>
        <v>0</v>
      </c>
    </row>
    <row r="14" spans="1:6" s="5" customFormat="1" x14ac:dyDescent="0.3">
      <c r="A14" s="223" t="s">
        <v>187</v>
      </c>
      <c r="B14" s="212">
        <f>B12+B13</f>
        <v>0</v>
      </c>
      <c r="C14" s="212">
        <f t="shared" ref="C14:D14" si="2">C12+C13</f>
        <v>0</v>
      </c>
      <c r="D14" s="212">
        <f t="shared" si="2"/>
        <v>0</v>
      </c>
      <c r="E14" s="99">
        <f t="shared" si="0"/>
        <v>0</v>
      </c>
      <c r="F14" s="99">
        <f t="shared" si="1"/>
        <v>0</v>
      </c>
    </row>
    <row r="15" spans="1:6" s="5" customFormat="1" x14ac:dyDescent="0.3">
      <c r="A15" s="224" t="s">
        <v>162</v>
      </c>
      <c r="B15" s="100">
        <f>B26</f>
        <v>0</v>
      </c>
      <c r="C15" s="100">
        <f>C26</f>
        <v>0</v>
      </c>
      <c r="D15" s="100">
        <f>D26</f>
        <v>0</v>
      </c>
      <c r="E15" s="100">
        <f>E26</f>
        <v>0</v>
      </c>
      <c r="F15" s="100">
        <f>F26</f>
        <v>0</v>
      </c>
    </row>
    <row r="16" spans="1:6" s="5" customFormat="1" x14ac:dyDescent="0.3">
      <c r="A16" s="225" t="s">
        <v>184</v>
      </c>
      <c r="B16" s="99">
        <f>SUM(B14:B15)</f>
        <v>0</v>
      </c>
      <c r="C16" s="99">
        <f t="shared" ref="C16:F16" si="3">SUM(C14:C15)</f>
        <v>0</v>
      </c>
      <c r="D16" s="99">
        <f t="shared" si="3"/>
        <v>0</v>
      </c>
      <c r="E16" s="99">
        <f t="shared" si="3"/>
        <v>0</v>
      </c>
      <c r="F16" s="99">
        <f t="shared" si="3"/>
        <v>0</v>
      </c>
    </row>
    <row r="17" spans="1:7" ht="16.5" customHeight="1" x14ac:dyDescent="0.3">
      <c r="A17" s="424" t="s">
        <v>3</v>
      </c>
      <c r="B17" s="424"/>
      <c r="C17" s="424"/>
      <c r="D17" s="424"/>
      <c r="E17" s="424"/>
      <c r="F17" s="424"/>
    </row>
    <row r="18" spans="1:7" x14ac:dyDescent="0.3">
      <c r="A18" s="44" t="s">
        <v>190</v>
      </c>
      <c r="B18" s="99">
        <f>SUM(B19:B20)</f>
        <v>0</v>
      </c>
      <c r="C18" s="99">
        <f>SUM(C19:C20)</f>
        <v>0</v>
      </c>
      <c r="D18" s="99">
        <f>SUM(D19:D20)</f>
        <v>0</v>
      </c>
      <c r="E18" s="220">
        <f>C18+D18</f>
        <v>0</v>
      </c>
      <c r="F18" s="99">
        <f t="shared" ref="F18:F25" si="4">B18-E18</f>
        <v>0</v>
      </c>
    </row>
    <row r="19" spans="1:7" x14ac:dyDescent="0.3">
      <c r="A19" s="61" t="s">
        <v>152</v>
      </c>
      <c r="B19" s="100">
        <f>'FY-1 Summary'!B20+'FY-2 Summary'!B20+'FY-3 Summary'!B20</f>
        <v>0</v>
      </c>
      <c r="C19" s="100">
        <f>'FY-1 Summary'!C20+'FY-2 Summary'!C20+'FY-3 Summary'!C20</f>
        <v>0</v>
      </c>
      <c r="D19" s="100">
        <f>'FY-1 Summary'!D20+'FY-2 Summary'!D20+'FY-3 Summary'!D20</f>
        <v>0</v>
      </c>
      <c r="E19" s="219">
        <f t="shared" ref="E19:E24" si="5">C19+D19</f>
        <v>0</v>
      </c>
      <c r="F19" s="100">
        <f t="shared" si="4"/>
        <v>0</v>
      </c>
    </row>
    <row r="20" spans="1:7" x14ac:dyDescent="0.3">
      <c r="A20" s="61" t="s">
        <v>153</v>
      </c>
      <c r="B20" s="100">
        <f>'FY-1 Summary'!B21+'FY-2 Summary'!B21+'FY-3 Summary'!B21</f>
        <v>0</v>
      </c>
      <c r="C20" s="100">
        <f>'FY-1 Summary'!C21+'FY-2 Summary'!C21+'FY-3 Summary'!C21</f>
        <v>0</v>
      </c>
      <c r="D20" s="100">
        <f>'FY-1 Summary'!D21+'FY-2 Summary'!D21+'FY-3 Summary'!D21</f>
        <v>0</v>
      </c>
      <c r="E20" s="219">
        <f t="shared" si="5"/>
        <v>0</v>
      </c>
      <c r="F20" s="100">
        <f t="shared" si="4"/>
        <v>0</v>
      </c>
    </row>
    <row r="21" spans="1:7" x14ac:dyDescent="0.3">
      <c r="A21" s="31" t="s">
        <v>191</v>
      </c>
      <c r="B21" s="99">
        <f>SUM(B22:B24)</f>
        <v>0</v>
      </c>
      <c r="C21" s="99">
        <f>SUM(C22:C24)</f>
        <v>0</v>
      </c>
      <c r="D21" s="99">
        <f>SUM(D22:D24)</f>
        <v>0</v>
      </c>
      <c r="E21" s="220">
        <f>SUM(E22:E24)</f>
        <v>0</v>
      </c>
      <c r="F21" s="99">
        <f t="shared" si="4"/>
        <v>0</v>
      </c>
    </row>
    <row r="22" spans="1:7" x14ac:dyDescent="0.3">
      <c r="A22" s="60" t="s">
        <v>32</v>
      </c>
      <c r="B22" s="100">
        <f>'FY-1 Summary'!B23+'FY-2 Summary'!B23+'FY-3 Summary'!B23</f>
        <v>0</v>
      </c>
      <c r="C22" s="100">
        <f>'FY-1 Summary'!C23+'FY-2 Summary'!C23+'FY-3 Summary'!C23</f>
        <v>0</v>
      </c>
      <c r="D22" s="100">
        <f>'FY-1 Summary'!D23+'FY-2 Summary'!D23+'FY-3 Summary'!D23</f>
        <v>0</v>
      </c>
      <c r="E22" s="219">
        <f t="shared" si="5"/>
        <v>0</v>
      </c>
      <c r="F22" s="100">
        <f t="shared" si="4"/>
        <v>0</v>
      </c>
    </row>
    <row r="23" spans="1:7" x14ac:dyDescent="0.3">
      <c r="A23" s="60" t="s">
        <v>33</v>
      </c>
      <c r="B23" s="100">
        <f>'FY-1 Summary'!B24+'FY-2 Summary'!B24+'FY-3 Summary'!B24</f>
        <v>0</v>
      </c>
      <c r="C23" s="100">
        <f>'FY-1 Summary'!C24+'FY-2 Summary'!C24+'FY-3 Summary'!C24</f>
        <v>0</v>
      </c>
      <c r="D23" s="100">
        <f>'FY-1 Summary'!D24+'FY-2 Summary'!D24+'FY-3 Summary'!D24</f>
        <v>0</v>
      </c>
      <c r="E23" s="219">
        <f t="shared" si="5"/>
        <v>0</v>
      </c>
      <c r="F23" s="100">
        <f t="shared" si="4"/>
        <v>0</v>
      </c>
    </row>
    <row r="24" spans="1:7" x14ac:dyDescent="0.3">
      <c r="A24" s="60" t="s">
        <v>34</v>
      </c>
      <c r="B24" s="100">
        <f>'FY-1 Summary'!B25+'FY-2 Summary'!B25+'FY-3 Summary'!B25</f>
        <v>0</v>
      </c>
      <c r="C24" s="100">
        <f>'FY-1 Summary'!C25+'FY-2 Summary'!C25+'FY-3 Summary'!C25</f>
        <v>0</v>
      </c>
      <c r="D24" s="100">
        <f>'FY-1 Summary'!D25+'FY-2 Summary'!D25+'FY-3 Summary'!D25</f>
        <v>0</v>
      </c>
      <c r="E24" s="219">
        <f t="shared" si="5"/>
        <v>0</v>
      </c>
      <c r="F24" s="100">
        <f t="shared" si="4"/>
        <v>0</v>
      </c>
    </row>
    <row r="25" spans="1:7" s="5" customFormat="1" x14ac:dyDescent="0.3">
      <c r="A25" s="44" t="s">
        <v>193</v>
      </c>
      <c r="B25" s="99">
        <f>B18+B21</f>
        <v>0</v>
      </c>
      <c r="C25" s="99">
        <f>C18+C21</f>
        <v>0</v>
      </c>
      <c r="D25" s="99">
        <f>D18+D21</f>
        <v>0</v>
      </c>
      <c r="E25" s="220">
        <f>E18+E21</f>
        <v>0</v>
      </c>
      <c r="F25" s="99">
        <f t="shared" si="4"/>
        <v>0</v>
      </c>
    </row>
    <row r="26" spans="1:7" s="5" customFormat="1" x14ac:dyDescent="0.3">
      <c r="A26" s="213" t="s">
        <v>194</v>
      </c>
      <c r="B26" s="217">
        <f>B34*Assumptions!$B$6</f>
        <v>0</v>
      </c>
      <c r="C26" s="217">
        <f>C34*Assumptions!$B$6</f>
        <v>0</v>
      </c>
      <c r="D26" s="217">
        <f>D34*Assumptions!$B$6</f>
        <v>0</v>
      </c>
      <c r="E26" s="221">
        <f>E34*Assumptions!$B$6</f>
        <v>0</v>
      </c>
      <c r="F26" s="100">
        <f>F34*Assumptions!$B$6</f>
        <v>0</v>
      </c>
    </row>
    <row r="27" spans="1:7" s="5" customFormat="1" x14ac:dyDescent="0.3">
      <c r="A27" s="218" t="s">
        <v>195</v>
      </c>
      <c r="B27" s="99">
        <f>SUM(B25:B26)</f>
        <v>0</v>
      </c>
      <c r="C27" s="99">
        <f t="shared" ref="C27:F27" si="6">SUM(C25:C26)</f>
        <v>0</v>
      </c>
      <c r="D27" s="99">
        <f t="shared" si="6"/>
        <v>0</v>
      </c>
      <c r="E27" s="220">
        <f t="shared" si="6"/>
        <v>0</v>
      </c>
      <c r="F27" s="99">
        <f t="shared" si="6"/>
        <v>0</v>
      </c>
    </row>
    <row r="28" spans="1:7" ht="7.35" customHeight="1" x14ac:dyDescent="0.3">
      <c r="A28" s="214"/>
      <c r="B28" s="66"/>
      <c r="C28" s="66"/>
      <c r="D28" s="66"/>
      <c r="E28" s="215"/>
      <c r="F28" s="39"/>
      <c r="G28" s="59"/>
    </row>
    <row r="29" spans="1:7" s="5" customFormat="1" x14ac:dyDescent="0.3">
      <c r="A29" s="64" t="s">
        <v>198</v>
      </c>
      <c r="B29" s="98">
        <f>B14-B25</f>
        <v>0</v>
      </c>
      <c r="C29" s="98">
        <f t="shared" ref="C29:E29" si="7">C14-C25</f>
        <v>0</v>
      </c>
      <c r="D29" s="98">
        <f t="shared" si="7"/>
        <v>0</v>
      </c>
      <c r="E29" s="98">
        <f t="shared" si="7"/>
        <v>0</v>
      </c>
      <c r="F29" s="413"/>
    </row>
    <row r="30" spans="1:7" ht="7.35" customHeight="1" x14ac:dyDescent="0.3">
      <c r="A30" s="226"/>
      <c r="B30" s="27"/>
      <c r="C30" s="27"/>
      <c r="D30" s="27"/>
      <c r="E30" s="43"/>
      <c r="F30" s="39"/>
      <c r="G30" s="59"/>
    </row>
    <row r="31" spans="1:7" s="28" customFormat="1" x14ac:dyDescent="0.3">
      <c r="A31" s="227" t="s">
        <v>192</v>
      </c>
      <c r="B31" s="101">
        <f>SUM(B32:B34)</f>
        <v>0</v>
      </c>
      <c r="C31" s="101">
        <f t="shared" ref="C31:F31" si="8">SUM(C32:C34)</f>
        <v>0</v>
      </c>
      <c r="D31" s="101">
        <f t="shared" si="8"/>
        <v>0</v>
      </c>
      <c r="E31" s="101">
        <f t="shared" si="8"/>
        <v>0</v>
      </c>
      <c r="F31" s="101">
        <f t="shared" si="8"/>
        <v>0</v>
      </c>
    </row>
    <row r="32" spans="1:7" s="28" customFormat="1" x14ac:dyDescent="0.3">
      <c r="A32" s="228" t="s">
        <v>152</v>
      </c>
      <c r="B32" s="102">
        <f>Budget!E28</f>
        <v>0</v>
      </c>
      <c r="C32" s="102">
        <f>'FY-1 Summary'!C33+'FY-2 Summary'!C33+'FY-3 Summary'!C33</f>
        <v>0</v>
      </c>
      <c r="D32" s="102">
        <f>'FY-1 Summary'!D33+'FY-2 Summary'!D33+'FY-3 Summary'!D33</f>
        <v>0</v>
      </c>
      <c r="E32" s="102">
        <f>'FY-1 Summary'!E33+'FY-2 Summary'!E33+'FY-3 Summary'!E33</f>
        <v>0</v>
      </c>
      <c r="F32" s="102">
        <f>'FY-1 Summary'!F33+'FY-2 Summary'!F33+'FY-3 Summary'!F33</f>
        <v>0</v>
      </c>
    </row>
    <row r="33" spans="1:7" s="28" customFormat="1" x14ac:dyDescent="0.3">
      <c r="A33" s="228" t="s">
        <v>153</v>
      </c>
      <c r="B33" s="102">
        <f>Budget!E29</f>
        <v>0</v>
      </c>
      <c r="C33" s="102">
        <f>'FY-1 Summary'!C34+'FY-2 Summary'!C34+'FY-3 Summary'!C34</f>
        <v>0</v>
      </c>
      <c r="D33" s="102">
        <f>'FY-1 Summary'!D34+'FY-2 Summary'!D34+'FY-3 Summary'!D34</f>
        <v>0</v>
      </c>
      <c r="E33" s="102">
        <f>'FY-1 Summary'!E34+'FY-2 Summary'!E34+'FY-3 Summary'!E34</f>
        <v>0</v>
      </c>
      <c r="F33" s="102">
        <f>'FY-1 Summary'!F34+'FY-2 Summary'!F34+'FY-3 Summary'!F34</f>
        <v>0</v>
      </c>
    </row>
    <row r="34" spans="1:7" s="28" customFormat="1" x14ac:dyDescent="0.3">
      <c r="A34" s="228" t="s">
        <v>162</v>
      </c>
      <c r="B34" s="102">
        <f>Budget!E30</f>
        <v>0</v>
      </c>
      <c r="C34" s="102">
        <f>'FY-1 Summary'!C35+'FY-2 Summary'!C35+'FY-3 Summary'!C35</f>
        <v>0</v>
      </c>
      <c r="D34" s="102">
        <f>'FY-1 Summary'!D35+'FY-2 Summary'!D35+'FY-3 Summary'!D35</f>
        <v>0</v>
      </c>
      <c r="E34" s="102">
        <f>'FY-1 Summary'!E35+'FY-2 Summary'!E35+'FY-3 Summary'!E35</f>
        <v>0</v>
      </c>
      <c r="F34" s="102">
        <f>'FY-1 Summary'!F35+'FY-2 Summary'!F35+'FY-3 Summary'!F35</f>
        <v>0</v>
      </c>
    </row>
    <row r="35" spans="1:7" ht="7.35" customHeight="1" thickBot="1" x14ac:dyDescent="0.35">
      <c r="A35" s="152"/>
      <c r="B35" s="63"/>
      <c r="C35" s="63"/>
      <c r="D35" s="418"/>
      <c r="E35" s="418"/>
      <c r="F35" s="416"/>
      <c r="G35" s="59"/>
    </row>
    <row r="36" spans="1:7" s="2" customFormat="1" ht="25.2" customHeight="1" thickTop="1" thickBot="1" x14ac:dyDescent="0.35">
      <c r="A36" s="229" t="s">
        <v>52</v>
      </c>
      <c r="B36" s="98">
        <f>'FY-1 Summary'!B37+'FY-2 Summary'!B37+'FY-3 Summary'!B37</f>
        <v>0</v>
      </c>
      <c r="C36" s="98">
        <f>'FY-1 Summary'!C37+'FY-2 Summary'!C37+'FY-3 Summary'!C37</f>
        <v>0</v>
      </c>
      <c r="D36" s="421" t="s">
        <v>228</v>
      </c>
      <c r="E36" s="422"/>
      <c r="F36" s="420">
        <f>B14-E25-B36</f>
        <v>0</v>
      </c>
      <c r="G36" s="65"/>
    </row>
    <row r="37" spans="1:7" ht="7.2" customHeight="1" thickTop="1" x14ac:dyDescent="0.3">
      <c r="D37" s="419"/>
      <c r="E37" s="419"/>
      <c r="F37" s="417"/>
      <c r="G37" s="59"/>
    </row>
  </sheetData>
  <mergeCells count="11">
    <mergeCell ref="D36:E36"/>
    <mergeCell ref="A11:F11"/>
    <mergeCell ref="A17:F17"/>
    <mergeCell ref="A9:F9"/>
    <mergeCell ref="B1:D1"/>
    <mergeCell ref="B2:D2"/>
    <mergeCell ref="B3:D3"/>
    <mergeCell ref="B4:D4"/>
    <mergeCell ref="B5:D5"/>
    <mergeCell ref="B6:D6"/>
    <mergeCell ref="B7:D7"/>
  </mergeCells>
  <pageMargins left="0.25" right="0.25" top="0.75" bottom="0.25" header="0.3" footer="0.3"/>
  <pageSetup orientation="landscape" r:id="rId1"/>
  <headerFooter scaleWithDoc="0" alignWithMargins="0">
    <oddHeader>&amp;L&amp;G</oddHeader>
    <oddFooter xml:space="preserve">&amp;C
</oddFooter>
  </headerFooter>
  <ignoredErrors>
    <ignoredError sqref="E21" formula="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41"/>
  <sheetViews>
    <sheetView zoomScaleNormal="100" workbookViewId="0">
      <pane xSplit="1" ySplit="2" topLeftCell="B3" activePane="bottomRight" state="frozen"/>
      <selection activeCell="B9" sqref="B9"/>
      <selection pane="topRight" activeCell="B9" sqref="B9"/>
      <selection pane="bottomLeft" activeCell="B9" sqref="B9"/>
      <selection pane="bottomRight" activeCell="G18" sqref="G18"/>
    </sheetView>
  </sheetViews>
  <sheetFormatPr defaultColWidth="9.109375" defaultRowHeight="12" x14ac:dyDescent="0.25"/>
  <cols>
    <col min="1" max="1" width="32.33203125" style="110" customWidth="1"/>
    <col min="2" max="5" width="13.5546875" style="110" customWidth="1"/>
    <col min="6" max="8" width="9.109375" style="110"/>
    <col min="9" max="9" width="22.88671875" style="110" bestFit="1" customWidth="1"/>
    <col min="10" max="10" width="9.44140625" style="110" bestFit="1" customWidth="1"/>
    <col min="11" max="11" width="5.109375" style="110" bestFit="1" customWidth="1"/>
    <col min="12" max="12" width="11.5546875" style="110" bestFit="1" customWidth="1"/>
    <col min="13" max="13" width="13.33203125" style="110" bestFit="1" customWidth="1"/>
    <col min="14" max="14" width="5.109375" style="110" bestFit="1" customWidth="1"/>
    <col min="15" max="16384" width="9.109375" style="110"/>
  </cols>
  <sheetData>
    <row r="1" spans="1:5" ht="12.6" thickBot="1" x14ac:dyDescent="0.3">
      <c r="A1" s="382" t="s">
        <v>18</v>
      </c>
      <c r="B1" s="383" t="str">
        <f>Assumptions!B2</f>
        <v>FY15</v>
      </c>
      <c r="C1" s="383" t="str">
        <f>Assumptions!B3</f>
        <v>FY16</v>
      </c>
      <c r="D1" s="383" t="str">
        <f>Assumptions!B4</f>
        <v>FY17</v>
      </c>
      <c r="E1" s="384" t="s">
        <v>7</v>
      </c>
    </row>
    <row r="2" spans="1:5" x14ac:dyDescent="0.25">
      <c r="A2" s="111"/>
      <c r="B2" s="112"/>
      <c r="C2" s="113"/>
      <c r="D2" s="113"/>
      <c r="E2" s="114"/>
    </row>
    <row r="3" spans="1:5" x14ac:dyDescent="0.25">
      <c r="A3" s="115" t="s">
        <v>19</v>
      </c>
      <c r="B3" s="116"/>
      <c r="C3" s="114"/>
      <c r="D3" s="114"/>
      <c r="E3" s="114"/>
    </row>
    <row r="4" spans="1:5" x14ac:dyDescent="0.25">
      <c r="A4" s="115"/>
      <c r="B4" s="116"/>
      <c r="C4" s="114"/>
      <c r="D4" s="114"/>
      <c r="E4" s="114"/>
    </row>
    <row r="5" spans="1:5" x14ac:dyDescent="0.25">
      <c r="A5" s="117" t="s">
        <v>20</v>
      </c>
      <c r="B5" s="118"/>
      <c r="C5" s="119"/>
      <c r="D5" s="119"/>
      <c r="E5" s="114"/>
    </row>
    <row r="6" spans="1:5" x14ac:dyDescent="0.25">
      <c r="A6" s="120" t="s">
        <v>21</v>
      </c>
      <c r="B6" s="385"/>
      <c r="C6" s="386"/>
      <c r="D6" s="386"/>
      <c r="E6" s="128">
        <f>SUM(B6:D6)</f>
        <v>0</v>
      </c>
    </row>
    <row r="7" spans="1:5" x14ac:dyDescent="0.25">
      <c r="A7" s="120" t="s">
        <v>22</v>
      </c>
      <c r="B7" s="385"/>
      <c r="C7" s="386"/>
      <c r="D7" s="386"/>
      <c r="E7" s="128">
        <f t="shared" ref="E7:E10" si="0">SUM(B7:D7)</f>
        <v>0</v>
      </c>
    </row>
    <row r="8" spans="1:5" x14ac:dyDescent="0.25">
      <c r="A8" s="120" t="s">
        <v>23</v>
      </c>
      <c r="B8" s="385"/>
      <c r="C8" s="386"/>
      <c r="D8" s="386"/>
      <c r="E8" s="128">
        <f t="shared" si="0"/>
        <v>0</v>
      </c>
    </row>
    <row r="9" spans="1:5" x14ac:dyDescent="0.25">
      <c r="A9" s="120" t="s">
        <v>24</v>
      </c>
      <c r="B9" s="385"/>
      <c r="C9" s="386"/>
      <c r="D9" s="386"/>
      <c r="E9" s="128">
        <f t="shared" si="0"/>
        <v>0</v>
      </c>
    </row>
    <row r="10" spans="1:5" x14ac:dyDescent="0.25">
      <c r="A10" s="120" t="s">
        <v>25</v>
      </c>
      <c r="B10" s="385"/>
      <c r="C10" s="386"/>
      <c r="D10" s="386"/>
      <c r="E10" s="128">
        <f t="shared" si="0"/>
        <v>0</v>
      </c>
    </row>
    <row r="11" spans="1:5" x14ac:dyDescent="0.25">
      <c r="A11" s="130" t="s">
        <v>26</v>
      </c>
      <c r="B11" s="129">
        <f>SUBTOTAL(9,B5:B10)</f>
        <v>0</v>
      </c>
      <c r="C11" s="129">
        <f>SUBTOTAL(9,C5:C10)</f>
        <v>0</v>
      </c>
      <c r="D11" s="129">
        <f>SUBTOTAL(9,D5:D10)</f>
        <v>0</v>
      </c>
      <c r="E11" s="129">
        <f>SUBTOTAL(9,E5:E10)</f>
        <v>0</v>
      </c>
    </row>
    <row r="12" spans="1:5" x14ac:dyDescent="0.25">
      <c r="A12" s="117" t="s">
        <v>27</v>
      </c>
      <c r="B12" s="122"/>
      <c r="C12" s="121"/>
      <c r="D12" s="121"/>
      <c r="E12" s="121"/>
    </row>
    <row r="13" spans="1:5" x14ac:dyDescent="0.25">
      <c r="A13" s="120" t="s">
        <v>95</v>
      </c>
      <c r="B13" s="385"/>
      <c r="C13" s="386"/>
      <c r="D13" s="386"/>
      <c r="E13" s="128">
        <f t="shared" ref="E13:E14" si="1">SUM(B13:D13)</f>
        <v>0</v>
      </c>
    </row>
    <row r="14" spans="1:5" x14ac:dyDescent="0.25">
      <c r="A14" s="120" t="s">
        <v>25</v>
      </c>
      <c r="B14" s="385"/>
      <c r="C14" s="386"/>
      <c r="D14" s="386"/>
      <c r="E14" s="128">
        <f t="shared" si="1"/>
        <v>0</v>
      </c>
    </row>
    <row r="15" spans="1:5" x14ac:dyDescent="0.25">
      <c r="A15" s="130" t="s">
        <v>28</v>
      </c>
      <c r="B15" s="129">
        <f t="shared" ref="B15:E15" si="2">SUBTOTAL(9,B12:B14)</f>
        <v>0</v>
      </c>
      <c r="C15" s="129">
        <f t="shared" si="2"/>
        <v>0</v>
      </c>
      <c r="D15" s="129">
        <f t="shared" si="2"/>
        <v>0</v>
      </c>
      <c r="E15" s="129">
        <f t="shared" si="2"/>
        <v>0</v>
      </c>
    </row>
    <row r="16" spans="1:5" ht="12.6" thickBot="1" x14ac:dyDescent="0.3">
      <c r="A16" s="132" t="s">
        <v>29</v>
      </c>
      <c r="B16" s="131">
        <f>SUBTOTAL(9,B5:B15)</f>
        <v>0</v>
      </c>
      <c r="C16" s="131">
        <f>SUBTOTAL(9,C5:C15)</f>
        <v>0</v>
      </c>
      <c r="D16" s="131">
        <f>SUBTOTAL(9,D5:D15)</f>
        <v>0</v>
      </c>
      <c r="E16" s="131">
        <f>SUBTOTAL(9,E5:E15)</f>
        <v>0</v>
      </c>
    </row>
    <row r="17" spans="1:5" ht="12.6" thickBot="1" x14ac:dyDescent="0.3">
      <c r="B17" s="123"/>
      <c r="C17" s="123"/>
      <c r="D17" s="123"/>
    </row>
    <row r="18" spans="1:5" x14ac:dyDescent="0.25">
      <c r="A18" s="124" t="s">
        <v>30</v>
      </c>
      <c r="B18" s="125"/>
      <c r="C18" s="126"/>
      <c r="D18" s="126"/>
      <c r="E18" s="127"/>
    </row>
    <row r="19" spans="1:5" x14ac:dyDescent="0.25">
      <c r="A19" s="111"/>
      <c r="B19" s="118"/>
      <c r="C19" s="119"/>
      <c r="D19" s="119"/>
      <c r="E19" s="114"/>
    </row>
    <row r="20" spans="1:5" x14ac:dyDescent="0.25">
      <c r="A20" s="133" t="s">
        <v>31</v>
      </c>
      <c r="B20" s="118"/>
      <c r="C20" s="119"/>
      <c r="D20" s="119"/>
      <c r="E20" s="114"/>
    </row>
    <row r="21" spans="1:5" x14ac:dyDescent="0.25">
      <c r="A21" s="134" t="s">
        <v>32</v>
      </c>
      <c r="B21" s="385"/>
      <c r="C21" s="386"/>
      <c r="D21" s="386"/>
      <c r="E21" s="128">
        <f t="shared" ref="E21:E24" si="3">SUM(B21:D21)</f>
        <v>0</v>
      </c>
    </row>
    <row r="22" spans="1:5" x14ac:dyDescent="0.25">
      <c r="A22" s="134" t="s">
        <v>33</v>
      </c>
      <c r="B22" s="385"/>
      <c r="C22" s="386"/>
      <c r="D22" s="386"/>
      <c r="E22" s="128">
        <f t="shared" si="3"/>
        <v>0</v>
      </c>
    </row>
    <row r="23" spans="1:5" x14ac:dyDescent="0.25">
      <c r="A23" s="134" t="s">
        <v>34</v>
      </c>
      <c r="B23" s="385"/>
      <c r="C23" s="386"/>
      <c r="D23" s="386"/>
      <c r="E23" s="128">
        <f t="shared" si="3"/>
        <v>0</v>
      </c>
    </row>
    <row r="24" spans="1:5" x14ac:dyDescent="0.25">
      <c r="A24" s="134" t="s">
        <v>35</v>
      </c>
      <c r="B24" s="385"/>
      <c r="C24" s="386"/>
      <c r="D24" s="386"/>
      <c r="E24" s="128">
        <f t="shared" si="3"/>
        <v>0</v>
      </c>
    </row>
    <row r="25" spans="1:5" x14ac:dyDescent="0.25">
      <c r="A25" s="130" t="s">
        <v>36</v>
      </c>
      <c r="B25" s="129">
        <f t="shared" ref="B25:E25" si="4">SUBTOTAL(9,B20:B24)</f>
        <v>0</v>
      </c>
      <c r="C25" s="129">
        <f t="shared" si="4"/>
        <v>0</v>
      </c>
      <c r="D25" s="129">
        <f t="shared" si="4"/>
        <v>0</v>
      </c>
      <c r="E25" s="129">
        <f t="shared" si="4"/>
        <v>0</v>
      </c>
    </row>
    <row r="26" spans="1:5" x14ac:dyDescent="0.25">
      <c r="A26" s="135"/>
      <c r="B26" s="118"/>
      <c r="C26" s="119"/>
      <c r="D26" s="119"/>
      <c r="E26" s="114"/>
    </row>
    <row r="27" spans="1:5" x14ac:dyDescent="0.25">
      <c r="A27" s="136" t="s">
        <v>37</v>
      </c>
      <c r="B27" s="118"/>
      <c r="C27" s="119"/>
      <c r="D27" s="119"/>
      <c r="E27" s="114"/>
    </row>
    <row r="28" spans="1:5" x14ac:dyDescent="0.25">
      <c r="A28" s="137" t="s">
        <v>38</v>
      </c>
      <c r="B28" s="388"/>
      <c r="C28" s="389"/>
      <c r="D28" s="389"/>
      <c r="E28" s="387">
        <f>SUM(B28:D28)</f>
        <v>0</v>
      </c>
    </row>
    <row r="29" spans="1:5" x14ac:dyDescent="0.25">
      <c r="A29" s="137" t="s">
        <v>39</v>
      </c>
      <c r="B29" s="388"/>
      <c r="C29" s="389"/>
      <c r="D29" s="389"/>
      <c r="E29" s="387">
        <f t="shared" ref="E29:E30" si="5">SUM(B29:D29)</f>
        <v>0</v>
      </c>
    </row>
    <row r="30" spans="1:5" x14ac:dyDescent="0.25">
      <c r="A30" s="137" t="s">
        <v>162</v>
      </c>
      <c r="B30" s="388"/>
      <c r="C30" s="389"/>
      <c r="D30" s="389"/>
      <c r="E30" s="387">
        <f t="shared" si="5"/>
        <v>0</v>
      </c>
    </row>
    <row r="31" spans="1:5" x14ac:dyDescent="0.25">
      <c r="A31" s="130" t="s">
        <v>40</v>
      </c>
      <c r="B31" s="138">
        <f t="shared" ref="B31:E31" si="6">SUBTOTAL(9,B27:B30)</f>
        <v>0</v>
      </c>
      <c r="C31" s="138">
        <f t="shared" si="6"/>
        <v>0</v>
      </c>
      <c r="D31" s="138">
        <f t="shared" si="6"/>
        <v>0</v>
      </c>
      <c r="E31" s="139">
        <f t="shared" si="6"/>
        <v>0</v>
      </c>
    </row>
    <row r="32" spans="1:5" x14ac:dyDescent="0.25">
      <c r="A32" s="135"/>
      <c r="B32" s="118"/>
      <c r="C32" s="119"/>
      <c r="D32" s="119"/>
      <c r="E32" s="114"/>
    </row>
    <row r="33" spans="1:5" x14ac:dyDescent="0.25">
      <c r="A33" s="136" t="s">
        <v>41</v>
      </c>
      <c r="B33" s="118"/>
      <c r="C33" s="119"/>
      <c r="D33" s="119"/>
      <c r="E33" s="114"/>
    </row>
    <row r="34" spans="1:5" x14ac:dyDescent="0.25">
      <c r="A34" s="137" t="s">
        <v>38</v>
      </c>
      <c r="B34" s="385"/>
      <c r="C34" s="386"/>
      <c r="D34" s="386"/>
      <c r="E34" s="128">
        <f>SUM(B34:D34)</f>
        <v>0</v>
      </c>
    </row>
    <row r="35" spans="1:5" x14ac:dyDescent="0.25">
      <c r="A35" s="137" t="s">
        <v>39</v>
      </c>
      <c r="B35" s="385"/>
      <c r="C35" s="386"/>
      <c r="D35" s="386"/>
      <c r="E35" s="128">
        <f t="shared" ref="E35:E36" si="7">SUM(B35:D35)</f>
        <v>0</v>
      </c>
    </row>
    <row r="36" spans="1:5" x14ac:dyDescent="0.25">
      <c r="A36" s="137" t="s">
        <v>162</v>
      </c>
      <c r="B36" s="385"/>
      <c r="C36" s="386"/>
      <c r="D36" s="386"/>
      <c r="E36" s="128">
        <f t="shared" si="7"/>
        <v>0</v>
      </c>
    </row>
    <row r="37" spans="1:5" x14ac:dyDescent="0.25">
      <c r="A37" s="130" t="s">
        <v>42</v>
      </c>
      <c r="B37" s="140">
        <f t="shared" ref="B37:E37" si="8">SUBTOTAL(9,B32:B36)</f>
        <v>0</v>
      </c>
      <c r="C37" s="140">
        <f t="shared" ref="C37:D37" si="9">SUBTOTAL(9,C32:C36)</f>
        <v>0</v>
      </c>
      <c r="D37" s="140">
        <f t="shared" si="9"/>
        <v>0</v>
      </c>
      <c r="E37" s="129">
        <f t="shared" si="8"/>
        <v>0</v>
      </c>
    </row>
    <row r="38" spans="1:5" ht="12.6" thickBot="1" x14ac:dyDescent="0.3">
      <c r="A38" s="143" t="s">
        <v>43</v>
      </c>
      <c r="B38" s="141">
        <f t="shared" ref="B38:E38" si="10">SUM(B25,B37)</f>
        <v>0</v>
      </c>
      <c r="C38" s="141">
        <f t="shared" ref="C38:D38" si="11">SUM(C25,C37)</f>
        <v>0</v>
      </c>
      <c r="D38" s="141">
        <f t="shared" si="11"/>
        <v>0</v>
      </c>
      <c r="E38" s="142">
        <f t="shared" si="10"/>
        <v>0</v>
      </c>
    </row>
    <row r="39" spans="1:5" ht="12.6" thickBot="1" x14ac:dyDescent="0.3">
      <c r="A39" s="144" t="s">
        <v>44</v>
      </c>
      <c r="B39" s="141">
        <f t="shared" ref="B39:E39" si="12">B16-B38</f>
        <v>0</v>
      </c>
      <c r="C39" s="141">
        <f t="shared" ref="C39:D39" si="13">C16-C38</f>
        <v>0</v>
      </c>
      <c r="D39" s="141">
        <f t="shared" si="13"/>
        <v>0</v>
      </c>
      <c r="E39" s="142">
        <f t="shared" si="12"/>
        <v>0</v>
      </c>
    </row>
    <row r="40" spans="1:5" ht="9" customHeight="1" x14ac:dyDescent="0.25">
      <c r="B40" s="123"/>
      <c r="C40" s="123"/>
      <c r="D40" s="123"/>
    </row>
    <row r="41" spans="1:5" x14ac:dyDescent="0.25">
      <c r="B41" s="123"/>
      <c r="C41" s="123"/>
      <c r="D41" s="123"/>
      <c r="E41" s="123"/>
    </row>
  </sheetData>
  <pageMargins left="0.7" right="0.7" top="0.75" bottom="0.75" header="0.3" footer="0.3"/>
  <pageSetup scale="98" orientation="landscape" r:id="rId1"/>
  <headerFooter>
    <oddHeader>&amp;C&amp;"Arial,Bold"&amp;14&amp;K000000&amp;A</oddHeader>
  </headerFooter>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C46"/>
  <sheetViews>
    <sheetView workbookViewId="0">
      <selection activeCell="B24" sqref="B24"/>
    </sheetView>
  </sheetViews>
  <sheetFormatPr defaultRowHeight="14.4" x14ac:dyDescent="0.3"/>
  <cols>
    <col min="1" max="1" width="7.109375" bestFit="1" customWidth="1"/>
    <col min="2" max="2" width="46.88671875" bestFit="1" customWidth="1"/>
    <col min="3" max="3" width="96.109375" bestFit="1" customWidth="1"/>
  </cols>
  <sheetData>
    <row r="1" spans="1:3" ht="16.8" thickTop="1" thickBot="1" x14ac:dyDescent="0.35">
      <c r="A1" s="469" t="s">
        <v>202</v>
      </c>
      <c r="B1" s="470"/>
      <c r="C1" s="470"/>
    </row>
    <row r="2" spans="1:3" ht="15.6" thickTop="1" thickBot="1" x14ac:dyDescent="0.35">
      <c r="A2" s="230"/>
      <c r="B2" s="231" t="s">
        <v>210</v>
      </c>
      <c r="C2" s="231" t="s">
        <v>99</v>
      </c>
    </row>
    <row r="3" spans="1:3" ht="15" thickTop="1" x14ac:dyDescent="0.3">
      <c r="A3" s="40"/>
      <c r="B3" s="145" t="s">
        <v>203</v>
      </c>
      <c r="C3" s="146" t="s">
        <v>204</v>
      </c>
    </row>
    <row r="4" spans="1:3" x14ac:dyDescent="0.3">
      <c r="A4" s="40"/>
      <c r="B4" s="145" t="s">
        <v>205</v>
      </c>
      <c r="C4" s="146" t="s">
        <v>207</v>
      </c>
    </row>
    <row r="5" spans="1:3" ht="15" thickBot="1" x14ac:dyDescent="0.35">
      <c r="A5" s="29"/>
      <c r="B5" s="145" t="s">
        <v>206</v>
      </c>
      <c r="C5" s="146" t="s">
        <v>208</v>
      </c>
    </row>
    <row r="6" spans="1:3" ht="15.6" thickTop="1" thickBot="1" x14ac:dyDescent="0.35">
      <c r="A6" s="230"/>
      <c r="B6" s="231" t="s">
        <v>211</v>
      </c>
      <c r="C6" s="231" t="s">
        <v>99</v>
      </c>
    </row>
    <row r="7" spans="1:3" ht="15" thickTop="1" x14ac:dyDescent="0.3">
      <c r="A7" s="40"/>
      <c r="B7" s="145" t="s">
        <v>209</v>
      </c>
      <c r="C7" s="146" t="s">
        <v>204</v>
      </c>
    </row>
    <row r="8" spans="1:3" x14ac:dyDescent="0.3">
      <c r="A8" s="40"/>
      <c r="B8" s="145" t="s">
        <v>212</v>
      </c>
      <c r="C8" s="146" t="s">
        <v>208</v>
      </c>
    </row>
    <row r="9" spans="1:3" x14ac:dyDescent="0.3">
      <c r="A9" s="29"/>
      <c r="B9" s="145" t="s">
        <v>213</v>
      </c>
      <c r="C9" s="146" t="s">
        <v>214</v>
      </c>
    </row>
    <row r="10" spans="1:3" ht="15" thickBot="1" x14ac:dyDescent="0.35"/>
    <row r="11" spans="1:3" ht="16.8" thickTop="1" thickBot="1" x14ac:dyDescent="0.35">
      <c r="A11" s="469" t="s">
        <v>113</v>
      </c>
      <c r="B11" s="470"/>
      <c r="C11" s="470"/>
    </row>
    <row r="12" spans="1:3" ht="15.6" thickTop="1" thickBot="1" x14ac:dyDescent="0.35">
      <c r="A12" s="230"/>
      <c r="B12" s="231" t="s">
        <v>118</v>
      </c>
      <c r="C12" s="231" t="s">
        <v>119</v>
      </c>
    </row>
    <row r="13" spans="1:3" ht="28.2" thickTop="1" x14ac:dyDescent="0.3">
      <c r="A13" s="29">
        <v>1.1000000000000001</v>
      </c>
      <c r="B13" s="145" t="s">
        <v>122</v>
      </c>
      <c r="C13" s="146" t="s">
        <v>123</v>
      </c>
    </row>
    <row r="14" spans="1:3" ht="27.6" x14ac:dyDescent="0.3">
      <c r="A14" s="29">
        <v>1.2</v>
      </c>
      <c r="B14" s="145" t="s">
        <v>115</v>
      </c>
      <c r="C14" s="146" t="s">
        <v>159</v>
      </c>
    </row>
    <row r="15" spans="1:3" ht="220.8" x14ac:dyDescent="0.3">
      <c r="A15" s="29">
        <v>1.3</v>
      </c>
      <c r="B15" s="145" t="s">
        <v>121</v>
      </c>
      <c r="C15" s="146" t="s">
        <v>215</v>
      </c>
    </row>
    <row r="16" spans="1:3" ht="82.8" x14ac:dyDescent="0.3">
      <c r="A16" s="29">
        <v>1.4</v>
      </c>
      <c r="B16" s="145" t="s">
        <v>120</v>
      </c>
      <c r="C16" s="146" t="s">
        <v>217</v>
      </c>
    </row>
    <row r="17" spans="1:3" ht="110.4" x14ac:dyDescent="0.3">
      <c r="A17" s="29">
        <v>1.5</v>
      </c>
      <c r="B17" s="145" t="s">
        <v>124</v>
      </c>
      <c r="C17" s="146" t="s">
        <v>161</v>
      </c>
    </row>
    <row r="18" spans="1:3" ht="27.6" x14ac:dyDescent="0.3">
      <c r="A18" s="29">
        <v>1.6</v>
      </c>
      <c r="B18" s="145" t="s">
        <v>126</v>
      </c>
      <c r="C18" s="146" t="s">
        <v>127</v>
      </c>
    </row>
    <row r="19" spans="1:3" ht="15" thickBot="1" x14ac:dyDescent="0.35"/>
    <row r="20" spans="1:3" ht="16.8" thickTop="1" thickBot="1" x14ac:dyDescent="0.35">
      <c r="A20" s="469" t="s">
        <v>114</v>
      </c>
      <c r="B20" s="470"/>
      <c r="C20" s="470"/>
    </row>
    <row r="21" spans="1:3" ht="15.6" thickTop="1" thickBot="1" x14ac:dyDescent="0.35">
      <c r="A21" s="230"/>
      <c r="B21" s="231"/>
      <c r="C21" s="231" t="s">
        <v>112</v>
      </c>
    </row>
    <row r="22" spans="1:3" ht="42" thickTop="1" x14ac:dyDescent="0.3">
      <c r="A22" s="58">
        <v>2.1</v>
      </c>
      <c r="B22" s="145" t="s">
        <v>172</v>
      </c>
      <c r="C22" s="146" t="s">
        <v>173</v>
      </c>
    </row>
    <row r="23" spans="1:3" ht="96.6" x14ac:dyDescent="0.3">
      <c r="A23" s="58">
        <v>2.2000000000000002</v>
      </c>
      <c r="B23" s="145" t="s">
        <v>125</v>
      </c>
      <c r="C23" s="146" t="s">
        <v>150</v>
      </c>
    </row>
    <row r="24" spans="1:3" ht="110.4" x14ac:dyDescent="0.3">
      <c r="A24" s="58">
        <v>2.2999999999999998</v>
      </c>
      <c r="B24" s="145" t="s">
        <v>128</v>
      </c>
      <c r="C24" s="146" t="s">
        <v>129</v>
      </c>
    </row>
    <row r="25" spans="1:3" ht="27.6" x14ac:dyDescent="0.3">
      <c r="A25" s="58">
        <v>2.4</v>
      </c>
      <c r="B25" s="145" t="s">
        <v>130</v>
      </c>
      <c r="C25" s="146" t="s">
        <v>131</v>
      </c>
    </row>
    <row r="26" spans="1:3" x14ac:dyDescent="0.3">
      <c r="A26" s="58">
        <v>2.5</v>
      </c>
      <c r="B26" s="145" t="s">
        <v>132</v>
      </c>
      <c r="C26" s="146" t="s">
        <v>133</v>
      </c>
    </row>
    <row r="27" spans="1:3" ht="15" thickBot="1" x14ac:dyDescent="0.35"/>
    <row r="28" spans="1:3" ht="16.8" thickTop="1" thickBot="1" x14ac:dyDescent="0.35">
      <c r="A28" s="469" t="s">
        <v>136</v>
      </c>
      <c r="B28" s="470"/>
      <c r="C28" s="470"/>
    </row>
    <row r="29" spans="1:3" ht="15.6" thickTop="1" thickBot="1" x14ac:dyDescent="0.35">
      <c r="A29" s="230"/>
      <c r="B29" s="231"/>
      <c r="C29" s="231" t="s">
        <v>112</v>
      </c>
    </row>
    <row r="30" spans="1:3" ht="42" thickTop="1" x14ac:dyDescent="0.3">
      <c r="A30" s="40">
        <v>3.1</v>
      </c>
      <c r="B30" s="147" t="s">
        <v>135</v>
      </c>
      <c r="C30" s="146" t="s">
        <v>151</v>
      </c>
    </row>
    <row r="31" spans="1:3" x14ac:dyDescent="0.3">
      <c r="A31" s="29">
        <v>3.2</v>
      </c>
      <c r="B31" s="145" t="s">
        <v>140</v>
      </c>
      <c r="C31" s="146" t="s">
        <v>138</v>
      </c>
    </row>
    <row r="32" spans="1:3" x14ac:dyDescent="0.3">
      <c r="A32" s="29">
        <v>3.3</v>
      </c>
      <c r="B32" s="145" t="s">
        <v>139</v>
      </c>
      <c r="C32" s="146" t="s">
        <v>138</v>
      </c>
    </row>
    <row r="33" spans="1:3" ht="28.2" thickBot="1" x14ac:dyDescent="0.35">
      <c r="A33" s="29">
        <v>3.4</v>
      </c>
      <c r="B33" s="148" t="s">
        <v>141</v>
      </c>
      <c r="C33" s="146" t="s">
        <v>138</v>
      </c>
    </row>
    <row r="34" spans="1:3" ht="15" thickTop="1" x14ac:dyDescent="0.3">
      <c r="A34" s="29">
        <v>3.5</v>
      </c>
      <c r="B34" s="147" t="s">
        <v>132</v>
      </c>
      <c r="C34" s="149" t="s">
        <v>149</v>
      </c>
    </row>
    <row r="35" spans="1:3" ht="15" thickBot="1" x14ac:dyDescent="0.35"/>
    <row r="36" spans="1:3" ht="16.8" thickTop="1" thickBot="1" x14ac:dyDescent="0.35">
      <c r="A36" s="469" t="s">
        <v>137</v>
      </c>
      <c r="B36" s="470"/>
      <c r="C36" s="470"/>
    </row>
    <row r="37" spans="1:3" ht="15.6" thickTop="1" thickBot="1" x14ac:dyDescent="0.35">
      <c r="A37" s="230"/>
      <c r="B37" s="231"/>
      <c r="C37" s="231" t="s">
        <v>112</v>
      </c>
    </row>
    <row r="38" spans="1:3" ht="15" thickTop="1" x14ac:dyDescent="0.3">
      <c r="A38" s="40">
        <v>4.0999999999999996</v>
      </c>
      <c r="B38" s="147" t="s">
        <v>142</v>
      </c>
      <c r="C38" s="146" t="s">
        <v>143</v>
      </c>
    </row>
    <row r="39" spans="1:3" x14ac:dyDescent="0.3">
      <c r="A39" s="29">
        <v>4.2</v>
      </c>
      <c r="B39" s="148" t="s">
        <v>144</v>
      </c>
      <c r="C39" s="146" t="s">
        <v>146</v>
      </c>
    </row>
    <row r="40" spans="1:3" ht="28.2" thickBot="1" x14ac:dyDescent="0.35">
      <c r="A40" s="29">
        <v>4.3</v>
      </c>
      <c r="B40" s="148" t="s">
        <v>145</v>
      </c>
      <c r="C40" s="146" t="s">
        <v>146</v>
      </c>
    </row>
    <row r="41" spans="1:3" ht="15" thickTop="1" x14ac:dyDescent="0.3">
      <c r="A41" s="29">
        <v>4.4000000000000004</v>
      </c>
      <c r="B41" s="147" t="s">
        <v>132</v>
      </c>
      <c r="C41" s="149" t="s">
        <v>149</v>
      </c>
    </row>
    <row r="42" spans="1:3" ht="15" thickBot="1" x14ac:dyDescent="0.35"/>
    <row r="43" spans="1:3" ht="16.8" thickTop="1" thickBot="1" x14ac:dyDescent="0.35">
      <c r="A43" s="425" t="s">
        <v>134</v>
      </c>
      <c r="B43" s="468"/>
      <c r="C43" s="468"/>
    </row>
    <row r="44" spans="1:3" ht="15.6" thickTop="1" thickBot="1" x14ac:dyDescent="0.35">
      <c r="A44" s="41"/>
      <c r="B44" s="42"/>
      <c r="C44" s="42" t="s">
        <v>112</v>
      </c>
    </row>
    <row r="45" spans="1:3" ht="15.6" thickTop="1" thickBot="1" x14ac:dyDescent="0.35">
      <c r="A45" s="40">
        <v>5.0999999999999996</v>
      </c>
      <c r="B45" s="147" t="s">
        <v>147</v>
      </c>
      <c r="C45" s="149" t="s">
        <v>148</v>
      </c>
    </row>
    <row r="46" spans="1:3" ht="15" thickTop="1" x14ac:dyDescent="0.3">
      <c r="A46" s="29">
        <v>5.2</v>
      </c>
      <c r="B46" s="147" t="s">
        <v>132</v>
      </c>
      <c r="C46" s="149" t="s">
        <v>149</v>
      </c>
    </row>
  </sheetData>
  <mergeCells count="6">
    <mergeCell ref="A43:C43"/>
    <mergeCell ref="A1:C1"/>
    <mergeCell ref="A11:C11"/>
    <mergeCell ref="A20:C20"/>
    <mergeCell ref="A28:C28"/>
    <mergeCell ref="A36:C36"/>
  </mergeCells>
  <pageMargins left="0.7" right="0.7" top="0.75" bottom="0.75" header="0.3" footer="0.3"/>
  <pageSetup scale="81" fitToHeight="0" orientation="landscape" r:id="rId1"/>
  <headerFooter>
    <oddHeader>&amp;C&amp;"-,Bold"&amp;14&amp;A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9"/>
  <sheetViews>
    <sheetView workbookViewId="0">
      <selection activeCell="I18" sqref="I18"/>
    </sheetView>
  </sheetViews>
  <sheetFormatPr defaultRowHeight="14.4" x14ac:dyDescent="0.3"/>
  <cols>
    <col min="1" max="1" width="33.33203125" bestFit="1" customWidth="1"/>
    <col min="2" max="2" width="15.5546875" customWidth="1"/>
    <col min="3" max="3" width="13.5546875" customWidth="1"/>
    <col min="4" max="4" width="12.88671875" bestFit="1" customWidth="1"/>
  </cols>
  <sheetData>
    <row r="1" spans="1:4" x14ac:dyDescent="0.3">
      <c r="B1" t="s">
        <v>201</v>
      </c>
      <c r="C1" t="s">
        <v>178</v>
      </c>
      <c r="D1" t="s">
        <v>181</v>
      </c>
    </row>
    <row r="2" spans="1:4" x14ac:dyDescent="0.3">
      <c r="A2" t="s">
        <v>175</v>
      </c>
      <c r="B2" t="s">
        <v>8</v>
      </c>
      <c r="C2" s="160">
        <v>41821</v>
      </c>
      <c r="D2" s="211">
        <v>0.36</v>
      </c>
    </row>
    <row r="3" spans="1:4" x14ac:dyDescent="0.3">
      <c r="A3" t="s">
        <v>176</v>
      </c>
      <c r="B3" t="s">
        <v>106</v>
      </c>
      <c r="C3" s="160">
        <v>42186</v>
      </c>
      <c r="D3" s="211">
        <f>ROUNDUP(D2*(1+$D$7),3)</f>
        <v>0.36799999999999999</v>
      </c>
    </row>
    <row r="4" spans="1:4" x14ac:dyDescent="0.3">
      <c r="A4" t="s">
        <v>177</v>
      </c>
      <c r="B4" t="s">
        <v>107</v>
      </c>
      <c r="C4" s="160">
        <v>42552</v>
      </c>
      <c r="D4" s="211">
        <f>ROUNDUP(D3*(1+$D$7),3)</f>
        <v>0.376</v>
      </c>
    </row>
    <row r="5" spans="1:4" x14ac:dyDescent="0.3">
      <c r="A5" s="150"/>
    </row>
    <row r="6" spans="1:4" x14ac:dyDescent="0.3">
      <c r="A6" s="151" t="s">
        <v>182</v>
      </c>
      <c r="B6" s="153">
        <v>80</v>
      </c>
    </row>
    <row r="7" spans="1:4" x14ac:dyDescent="0.3">
      <c r="A7" s="151" t="s">
        <v>183</v>
      </c>
      <c r="B7" s="153"/>
      <c r="D7" s="210">
        <v>0.02</v>
      </c>
    </row>
    <row r="8" spans="1:4" x14ac:dyDescent="0.3">
      <c r="A8" s="151"/>
      <c r="B8" s="153"/>
    </row>
    <row r="9" spans="1:4" x14ac:dyDescent="0.3">
      <c r="A9" s="152" t="s">
        <v>231</v>
      </c>
      <c r="B9">
        <v>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C28"/>
  <sheetViews>
    <sheetView workbookViewId="0">
      <selection activeCell="B16" sqref="B16"/>
    </sheetView>
  </sheetViews>
  <sheetFormatPr defaultRowHeight="14.4" x14ac:dyDescent="0.3"/>
  <cols>
    <col min="1" max="1" width="7.109375" bestFit="1" customWidth="1"/>
    <col min="2" max="2" width="46.88671875" bestFit="1" customWidth="1"/>
    <col min="3" max="3" width="96.109375" bestFit="1" customWidth="1"/>
  </cols>
  <sheetData>
    <row r="1" spans="1:3" ht="16.8" thickTop="1" thickBot="1" x14ac:dyDescent="0.35">
      <c r="A1" s="469" t="s">
        <v>218</v>
      </c>
      <c r="B1" s="470"/>
      <c r="C1" s="470"/>
    </row>
    <row r="2" spans="1:3" ht="15.6" thickTop="1" thickBot="1" x14ac:dyDescent="0.35">
      <c r="A2" s="231" t="s">
        <v>219</v>
      </c>
      <c r="B2" s="231" t="s">
        <v>99</v>
      </c>
      <c r="C2" s="231" t="s">
        <v>220</v>
      </c>
    </row>
    <row r="3" spans="1:3" ht="15" thickTop="1" x14ac:dyDescent="0.3">
      <c r="A3" s="40"/>
      <c r="B3" s="145"/>
      <c r="C3" s="146"/>
    </row>
    <row r="4" spans="1:3" x14ac:dyDescent="0.3">
      <c r="A4" s="40"/>
      <c r="B4" s="145"/>
      <c r="C4" s="146"/>
    </row>
    <row r="5" spans="1:3" x14ac:dyDescent="0.3">
      <c r="A5" s="29"/>
      <c r="B5" s="145"/>
      <c r="C5" s="146"/>
    </row>
    <row r="6" spans="1:3" x14ac:dyDescent="0.3">
      <c r="A6" s="40"/>
      <c r="B6" s="145"/>
      <c r="C6" s="146"/>
    </row>
    <row r="7" spans="1:3" x14ac:dyDescent="0.3">
      <c r="A7" s="40"/>
      <c r="B7" s="145"/>
      <c r="C7" s="146"/>
    </row>
    <row r="8" spans="1:3" x14ac:dyDescent="0.3">
      <c r="A8" s="29"/>
      <c r="B8" s="145"/>
      <c r="C8" s="146"/>
    </row>
    <row r="9" spans="1:3" x14ac:dyDescent="0.3">
      <c r="A9" s="40"/>
      <c r="B9" s="145"/>
      <c r="C9" s="146"/>
    </row>
    <row r="10" spans="1:3" x14ac:dyDescent="0.3">
      <c r="A10" s="40"/>
      <c r="B10" s="145"/>
      <c r="C10" s="146"/>
    </row>
    <row r="11" spans="1:3" x14ac:dyDescent="0.3">
      <c r="A11" s="29"/>
      <c r="B11" s="145"/>
      <c r="C11" s="146"/>
    </row>
    <row r="12" spans="1:3" x14ac:dyDescent="0.3">
      <c r="A12" s="40"/>
      <c r="B12" s="145"/>
      <c r="C12" s="146"/>
    </row>
    <row r="13" spans="1:3" x14ac:dyDescent="0.3">
      <c r="A13" s="40"/>
      <c r="B13" s="145"/>
      <c r="C13" s="146"/>
    </row>
    <row r="14" spans="1:3" x14ac:dyDescent="0.3">
      <c r="A14" s="29"/>
      <c r="B14" s="145"/>
      <c r="C14" s="146"/>
    </row>
    <row r="15" spans="1:3" x14ac:dyDescent="0.3">
      <c r="A15" s="40"/>
      <c r="B15" s="145"/>
      <c r="C15" s="146"/>
    </row>
    <row r="16" spans="1:3" x14ac:dyDescent="0.3">
      <c r="A16" s="40"/>
      <c r="B16" s="145"/>
      <c r="C16" s="146"/>
    </row>
    <row r="17" spans="1:3" x14ac:dyDescent="0.3">
      <c r="A17" s="29"/>
      <c r="B17" s="145"/>
      <c r="C17" s="146"/>
    </row>
    <row r="18" spans="1:3" x14ac:dyDescent="0.3">
      <c r="A18" s="40"/>
      <c r="B18" s="145"/>
      <c r="C18" s="146"/>
    </row>
    <row r="19" spans="1:3" x14ac:dyDescent="0.3">
      <c r="A19" s="40"/>
      <c r="B19" s="145"/>
      <c r="C19" s="146"/>
    </row>
    <row r="20" spans="1:3" x14ac:dyDescent="0.3">
      <c r="A20" s="29"/>
      <c r="B20" s="145"/>
      <c r="C20" s="146"/>
    </row>
    <row r="21" spans="1:3" x14ac:dyDescent="0.3">
      <c r="A21" s="40"/>
      <c r="B21" s="145"/>
      <c r="C21" s="146"/>
    </row>
    <row r="22" spans="1:3" x14ac:dyDescent="0.3">
      <c r="A22" s="40"/>
      <c r="B22" s="145"/>
      <c r="C22" s="146"/>
    </row>
    <row r="23" spans="1:3" x14ac:dyDescent="0.3">
      <c r="A23" s="29"/>
      <c r="B23" s="145"/>
      <c r="C23" s="146"/>
    </row>
    <row r="24" spans="1:3" x14ac:dyDescent="0.3">
      <c r="A24" s="40"/>
      <c r="B24" s="145"/>
      <c r="C24" s="146"/>
    </row>
    <row r="25" spans="1:3" x14ac:dyDescent="0.3">
      <c r="A25" s="40"/>
      <c r="B25" s="145"/>
      <c r="C25" s="146"/>
    </row>
    <row r="26" spans="1:3" x14ac:dyDescent="0.3">
      <c r="A26" s="29"/>
      <c r="B26" s="145"/>
      <c r="C26" s="146"/>
    </row>
    <row r="27" spans="1:3" x14ac:dyDescent="0.3">
      <c r="A27" s="40"/>
      <c r="B27" s="145"/>
      <c r="C27" s="146"/>
    </row>
    <row r="28" spans="1:3" x14ac:dyDescent="0.3">
      <c r="A28" s="40"/>
      <c r="B28" s="145"/>
      <c r="C28" s="146"/>
    </row>
  </sheetData>
  <mergeCells count="1">
    <mergeCell ref="A1:C1"/>
  </mergeCells>
  <pageMargins left="0.7" right="0.7" top="0.75" bottom="0.75" header="0.3" footer="0.3"/>
  <pageSetup scale="81" fitToHeight="0" orientation="landscape" r:id="rId1"/>
  <headerFooter>
    <oddHeader>&amp;C&amp;"-,Bold"&amp;14&amp;A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27"/>
  <sheetViews>
    <sheetView workbookViewId="0">
      <selection activeCell="C9" sqref="C9"/>
    </sheetView>
  </sheetViews>
  <sheetFormatPr defaultRowHeight="14.4" x14ac:dyDescent="0.3"/>
  <cols>
    <col min="1" max="1" width="10.5546875" bestFit="1" customWidth="1"/>
    <col min="2" max="2" width="8.5546875" customWidth="1"/>
    <col min="3" max="3" width="38.77734375" bestFit="1" customWidth="1"/>
    <col min="4" max="4" width="96.109375" bestFit="1" customWidth="1"/>
  </cols>
  <sheetData>
    <row r="1" spans="1:4" ht="16.2" thickBot="1" x14ac:dyDescent="0.35">
      <c r="A1" s="471" t="s">
        <v>218</v>
      </c>
      <c r="B1" s="472"/>
      <c r="C1" s="472"/>
      <c r="D1" s="472"/>
    </row>
    <row r="2" spans="1:4" ht="15.6" thickTop="1" thickBot="1" x14ac:dyDescent="0.35">
      <c r="A2" s="231" t="s">
        <v>219</v>
      </c>
      <c r="B2" s="231" t="s">
        <v>221</v>
      </c>
      <c r="C2" s="231" t="s">
        <v>99</v>
      </c>
      <c r="D2" s="231" t="s">
        <v>222</v>
      </c>
    </row>
    <row r="3" spans="1:4" ht="15" thickTop="1" x14ac:dyDescent="0.3">
      <c r="A3" s="414">
        <v>41988</v>
      </c>
      <c r="B3" s="415">
        <v>3.4</v>
      </c>
      <c r="C3" t="s">
        <v>223</v>
      </c>
      <c r="D3" s="146" t="s">
        <v>224</v>
      </c>
    </row>
    <row r="4" spans="1:4" ht="41.4" x14ac:dyDescent="0.3">
      <c r="A4" s="473">
        <v>42067</v>
      </c>
      <c r="B4" s="475">
        <v>3.5</v>
      </c>
      <c r="C4" s="146" t="s">
        <v>225</v>
      </c>
      <c r="D4" s="146" t="s">
        <v>226</v>
      </c>
    </row>
    <row r="5" spans="1:4" x14ac:dyDescent="0.3">
      <c r="A5" s="474"/>
      <c r="B5" s="476"/>
      <c r="C5" s="146" t="s">
        <v>227</v>
      </c>
      <c r="D5" s="146" t="s">
        <v>226</v>
      </c>
    </row>
    <row r="6" spans="1:4" ht="27.6" x14ac:dyDescent="0.3">
      <c r="A6" s="474"/>
      <c r="B6" s="476"/>
      <c r="C6" s="146" t="s">
        <v>229</v>
      </c>
      <c r="D6" s="146" t="s">
        <v>230</v>
      </c>
    </row>
    <row r="7" spans="1:4" ht="27.6" x14ac:dyDescent="0.3">
      <c r="A7" s="474"/>
      <c r="B7" s="476"/>
      <c r="C7" s="146" t="s">
        <v>232</v>
      </c>
      <c r="D7" s="146" t="s">
        <v>233</v>
      </c>
    </row>
    <row r="8" spans="1:4" x14ac:dyDescent="0.3">
      <c r="A8" s="414"/>
      <c r="B8" s="415"/>
      <c r="C8" s="146"/>
      <c r="D8" s="146"/>
    </row>
    <row r="9" spans="1:4" x14ac:dyDescent="0.3">
      <c r="A9" s="414"/>
      <c r="B9" s="415"/>
      <c r="C9" s="146"/>
      <c r="D9" s="146"/>
    </row>
    <row r="10" spans="1:4" x14ac:dyDescent="0.3">
      <c r="A10" s="414"/>
      <c r="B10" s="415"/>
      <c r="C10" s="146"/>
      <c r="D10" s="146"/>
    </row>
    <row r="11" spans="1:4" x14ac:dyDescent="0.3">
      <c r="A11" s="414"/>
      <c r="B11" s="415"/>
      <c r="C11" s="146"/>
      <c r="D11" s="146"/>
    </row>
    <row r="12" spans="1:4" x14ac:dyDescent="0.3">
      <c r="A12" s="414"/>
      <c r="B12" s="415"/>
      <c r="C12" s="146"/>
      <c r="D12" s="146"/>
    </row>
    <row r="13" spans="1:4" x14ac:dyDescent="0.3">
      <c r="A13" s="414"/>
      <c r="B13" s="415"/>
      <c r="C13" s="146"/>
      <c r="D13" s="146"/>
    </row>
    <row r="14" spans="1:4" x14ac:dyDescent="0.3">
      <c r="A14" s="414"/>
      <c r="B14" s="415"/>
      <c r="C14" s="146"/>
      <c r="D14" s="146"/>
    </row>
    <row r="15" spans="1:4" x14ac:dyDescent="0.3">
      <c r="A15" s="414"/>
      <c r="B15" s="415"/>
      <c r="C15" s="146"/>
      <c r="D15" s="146"/>
    </row>
    <row r="16" spans="1:4" x14ac:dyDescent="0.3">
      <c r="A16" s="414"/>
      <c r="B16" s="415"/>
      <c r="C16" s="146"/>
      <c r="D16" s="146"/>
    </row>
    <row r="17" spans="1:4" x14ac:dyDescent="0.3">
      <c r="A17" s="414"/>
      <c r="B17" s="415"/>
      <c r="C17" s="146"/>
      <c r="D17" s="146"/>
    </row>
    <row r="18" spans="1:4" x14ac:dyDescent="0.3">
      <c r="A18" s="414"/>
      <c r="B18" s="415"/>
      <c r="C18" s="146"/>
      <c r="D18" s="146"/>
    </row>
    <row r="19" spans="1:4" x14ac:dyDescent="0.3">
      <c r="A19" s="414"/>
      <c r="B19" s="415"/>
      <c r="C19" s="146"/>
      <c r="D19" s="146"/>
    </row>
    <row r="20" spans="1:4" x14ac:dyDescent="0.3">
      <c r="A20" s="414"/>
      <c r="B20" s="415"/>
      <c r="C20" s="146"/>
      <c r="D20" s="146"/>
    </row>
    <row r="21" spans="1:4" x14ac:dyDescent="0.3">
      <c r="A21" s="414"/>
      <c r="B21" s="415"/>
      <c r="C21" s="146"/>
      <c r="D21" s="146"/>
    </row>
    <row r="22" spans="1:4" x14ac:dyDescent="0.3">
      <c r="A22" s="414"/>
      <c r="B22" s="415"/>
      <c r="C22" s="146"/>
      <c r="D22" s="146"/>
    </row>
    <row r="23" spans="1:4" x14ac:dyDescent="0.3">
      <c r="A23" s="414"/>
      <c r="B23" s="415"/>
      <c r="C23" s="146"/>
      <c r="D23" s="146"/>
    </row>
    <row r="24" spans="1:4" x14ac:dyDescent="0.3">
      <c r="A24" s="414"/>
      <c r="B24" s="415"/>
      <c r="C24" s="146"/>
      <c r="D24" s="146"/>
    </row>
    <row r="25" spans="1:4" x14ac:dyDescent="0.3">
      <c r="A25" s="414"/>
      <c r="B25" s="415"/>
      <c r="C25" s="146"/>
      <c r="D25" s="146"/>
    </row>
    <row r="26" spans="1:4" x14ac:dyDescent="0.3">
      <c r="A26" s="414"/>
      <c r="B26" s="415"/>
      <c r="C26" s="146"/>
      <c r="D26" s="146"/>
    </row>
    <row r="27" spans="1:4" x14ac:dyDescent="0.3">
      <c r="A27" s="414"/>
      <c r="B27" s="415"/>
      <c r="C27" s="146"/>
      <c r="D27" s="146"/>
    </row>
  </sheetData>
  <mergeCells count="3">
    <mergeCell ref="A1:D1"/>
    <mergeCell ref="A4:A7"/>
    <mergeCell ref="B4:B7"/>
  </mergeCells>
  <pageMargins left="0.7" right="0.7" top="0.75" bottom="0.75" header="0.3" footer="0.3"/>
  <pageSetup scale="81" fitToHeight="0" orientation="landscape" r:id="rId1"/>
  <headerFooter>
    <oddHeader>&amp;C&amp;"-,Bold"&amp;14&amp;A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7"/>
  <sheetViews>
    <sheetView showGridLines="0" view="pageLayout" zoomScaleNormal="100" workbookViewId="0">
      <selection activeCell="B35" sqref="B35"/>
    </sheetView>
  </sheetViews>
  <sheetFormatPr defaultColWidth="9.109375" defaultRowHeight="13.8" x14ac:dyDescent="0.3"/>
  <cols>
    <col min="1" max="1" width="26.109375" style="1" bestFit="1" customWidth="1"/>
    <col min="2" max="6" width="16.88671875" style="1" customWidth="1"/>
    <col min="7" max="7" width="6.88671875" style="1" customWidth="1"/>
    <col min="8" max="16384" width="9.109375" style="1"/>
  </cols>
  <sheetData>
    <row r="1" spans="1:6" ht="11.25" customHeight="1" thickBot="1" x14ac:dyDescent="0.35"/>
    <row r="2" spans="1:6" ht="15" thickTop="1" x14ac:dyDescent="0.3">
      <c r="A2" s="30" t="s">
        <v>0</v>
      </c>
      <c r="B2" s="441">
        <f>'Project Summary'!B1:D1</f>
        <v>0</v>
      </c>
      <c r="C2" s="442"/>
      <c r="D2" s="443"/>
      <c r="E2" s="32"/>
    </row>
    <row r="3" spans="1:6" ht="14.4" x14ac:dyDescent="0.3">
      <c r="A3" s="37" t="s">
        <v>1</v>
      </c>
      <c r="B3" s="444">
        <f>'Project Summary'!B2:D2</f>
        <v>0</v>
      </c>
      <c r="C3" s="445"/>
      <c r="D3" s="446"/>
      <c r="E3" s="32"/>
    </row>
    <row r="4" spans="1:6" ht="14.4" x14ac:dyDescent="0.3">
      <c r="A4" s="37" t="s">
        <v>73</v>
      </c>
      <c r="B4" s="447">
        <f>'Project Summary'!B3:D3</f>
        <v>0</v>
      </c>
      <c r="C4" s="448"/>
      <c r="D4" s="449"/>
      <c r="E4" s="32"/>
    </row>
    <row r="5" spans="1:6" ht="15" customHeight="1" x14ac:dyDescent="0.3">
      <c r="A5" s="37" t="s">
        <v>72</v>
      </c>
      <c r="B5" s="447">
        <f>'Project Summary'!B4:D4</f>
        <v>0</v>
      </c>
      <c r="C5" s="448"/>
      <c r="D5" s="449"/>
      <c r="E5" s="32"/>
    </row>
    <row r="6" spans="1:6" ht="14.4" x14ac:dyDescent="0.3">
      <c r="A6" s="37" t="s">
        <v>51</v>
      </c>
      <c r="B6" s="438">
        <f>'Project Summary'!B5:D5</f>
        <v>0</v>
      </c>
      <c r="C6" s="439"/>
      <c r="D6" s="440"/>
      <c r="E6" s="33"/>
    </row>
    <row r="7" spans="1:6" ht="14.4" x14ac:dyDescent="0.3">
      <c r="A7" s="37" t="s">
        <v>74</v>
      </c>
      <c r="B7" s="438">
        <f>'Project Summary'!B6:D6</f>
        <v>0</v>
      </c>
      <c r="C7" s="439"/>
      <c r="D7" s="440"/>
      <c r="E7" s="33"/>
    </row>
    <row r="8" spans="1:6" ht="15" thickBot="1" x14ac:dyDescent="0.35">
      <c r="A8" s="38" t="s">
        <v>111</v>
      </c>
      <c r="B8" s="438">
        <f>'Project Summary'!B7:D7</f>
        <v>0</v>
      </c>
      <c r="C8" s="439"/>
      <c r="D8" s="440"/>
      <c r="E8" s="33"/>
    </row>
    <row r="9" spans="1:6" ht="7.35" customHeight="1" thickTop="1" thickBot="1" x14ac:dyDescent="0.35"/>
    <row r="10" spans="1:6" s="3" customFormat="1" ht="24" customHeight="1" thickTop="1" thickBot="1" x14ac:dyDescent="0.35">
      <c r="A10" s="425" t="str">
        <f>CONCATENATE(Assumptions!B2," Summary")</f>
        <v>FY15 Summary</v>
      </c>
      <c r="B10" s="426"/>
      <c r="C10" s="426"/>
      <c r="D10" s="426"/>
      <c r="E10" s="426"/>
      <c r="F10" s="427"/>
    </row>
    <row r="11" spans="1:6" s="4" customFormat="1" ht="42.6" thickTop="1" thickBot="1" x14ac:dyDescent="0.35">
      <c r="A11" s="231"/>
      <c r="B11" s="231" t="s">
        <v>76</v>
      </c>
      <c r="C11" s="231" t="s">
        <v>79</v>
      </c>
      <c r="D11" s="231" t="s">
        <v>89</v>
      </c>
      <c r="E11" s="231" t="s">
        <v>53</v>
      </c>
      <c r="F11" s="231" t="s">
        <v>54</v>
      </c>
    </row>
    <row r="12" spans="1:6" ht="16.5" customHeight="1" thickTop="1" x14ac:dyDescent="0.3">
      <c r="A12" s="67" t="s">
        <v>2</v>
      </c>
      <c r="B12" s="67"/>
      <c r="C12" s="67"/>
      <c r="D12" s="67"/>
      <c r="E12" s="67"/>
      <c r="F12" s="67"/>
    </row>
    <row r="13" spans="1:6" x14ac:dyDescent="0.3">
      <c r="A13" s="222" t="s">
        <v>185</v>
      </c>
      <c r="B13" s="100">
        <f>SUM(Budget!B6:B9)</f>
        <v>0</v>
      </c>
      <c r="C13" s="100">
        <f>'GL Actuals'!C11</f>
        <v>0</v>
      </c>
      <c r="D13" s="232"/>
      <c r="E13" s="100">
        <f>C13+D13</f>
        <v>0</v>
      </c>
      <c r="F13" s="100">
        <f>B13-E13</f>
        <v>0</v>
      </c>
    </row>
    <row r="14" spans="1:6" x14ac:dyDescent="0.3">
      <c r="A14" s="222" t="s">
        <v>186</v>
      </c>
      <c r="B14" s="100">
        <f>Budget!B10</f>
        <v>0</v>
      </c>
      <c r="C14" s="100">
        <f>'GL Actuals'!C12</f>
        <v>0</v>
      </c>
      <c r="D14" s="232"/>
      <c r="E14" s="100">
        <f t="shared" ref="E14" si="0">C14+D14</f>
        <v>0</v>
      </c>
      <c r="F14" s="100">
        <f t="shared" ref="F14:F26" si="1">B14-E14</f>
        <v>0</v>
      </c>
    </row>
    <row r="15" spans="1:6" s="5" customFormat="1" x14ac:dyDescent="0.3">
      <c r="A15" s="223" t="s">
        <v>187</v>
      </c>
      <c r="B15" s="99">
        <f>SUM(B13:B14)</f>
        <v>0</v>
      </c>
      <c r="C15" s="99">
        <f>SUM(C13:C14)</f>
        <v>0</v>
      </c>
      <c r="D15" s="99">
        <f>SUM(D13:D14)</f>
        <v>0</v>
      </c>
      <c r="E15" s="99">
        <f>SUM(E13:E14)</f>
        <v>0</v>
      </c>
      <c r="F15" s="99">
        <f t="shared" si="1"/>
        <v>0</v>
      </c>
    </row>
    <row r="16" spans="1:6" ht="16.5" customHeight="1" x14ac:dyDescent="0.3">
      <c r="A16" s="224" t="s">
        <v>162</v>
      </c>
      <c r="B16" s="100">
        <f>B27</f>
        <v>0</v>
      </c>
      <c r="C16" s="100">
        <f>C27</f>
        <v>0</v>
      </c>
      <c r="D16" s="100">
        <f t="shared" ref="D16:F16" si="2">D27</f>
        <v>0</v>
      </c>
      <c r="E16" s="100">
        <f t="shared" si="2"/>
        <v>0</v>
      </c>
      <c r="F16" s="100">
        <f t="shared" si="2"/>
        <v>0</v>
      </c>
    </row>
    <row r="17" spans="1:7" ht="16.5" customHeight="1" x14ac:dyDescent="0.3">
      <c r="A17" s="223" t="s">
        <v>184</v>
      </c>
      <c r="B17" s="99">
        <f>SUM(B15:B16)</f>
        <v>0</v>
      </c>
      <c r="C17" s="99">
        <f t="shared" ref="C17:F17" si="3">SUM(C15:C16)</f>
        <v>0</v>
      </c>
      <c r="D17" s="99">
        <f t="shared" si="3"/>
        <v>0</v>
      </c>
      <c r="E17" s="99">
        <f t="shared" si="3"/>
        <v>0</v>
      </c>
      <c r="F17" s="99">
        <f t="shared" si="3"/>
        <v>0</v>
      </c>
    </row>
    <row r="18" spans="1:7" ht="16.5" customHeight="1" x14ac:dyDescent="0.3">
      <c r="A18" s="424" t="s">
        <v>188</v>
      </c>
      <c r="B18" s="424"/>
      <c r="C18" s="424"/>
      <c r="D18" s="424"/>
      <c r="E18" s="424"/>
      <c r="F18" s="424"/>
    </row>
    <row r="19" spans="1:7" x14ac:dyDescent="0.3">
      <c r="A19" s="218" t="s">
        <v>190</v>
      </c>
      <c r="B19" s="99">
        <f>SUM(B20:B21)</f>
        <v>0</v>
      </c>
      <c r="C19" s="99">
        <f>SUM(C20:C21)</f>
        <v>0</v>
      </c>
      <c r="D19" s="99">
        <f>SUM(D20:D21)</f>
        <v>0</v>
      </c>
      <c r="E19" s="220">
        <f>C19+D19</f>
        <v>0</v>
      </c>
      <c r="F19" s="99">
        <f t="shared" si="1"/>
        <v>0</v>
      </c>
    </row>
    <row r="20" spans="1:7" x14ac:dyDescent="0.3">
      <c r="A20" s="222" t="s">
        <v>152</v>
      </c>
      <c r="B20" s="100">
        <f>Budget!B34</f>
        <v>0</v>
      </c>
      <c r="C20" s="100">
        <f>'GL Actuals'!C3</f>
        <v>0</v>
      </c>
      <c r="D20" s="100">
        <f>SUM('Labor Forecast'!I24:T24)</f>
        <v>0</v>
      </c>
      <c r="E20" s="219">
        <f t="shared" ref="E20:E25" si="4">C20+D20</f>
        <v>0</v>
      </c>
      <c r="F20" s="100">
        <f t="shared" si="1"/>
        <v>0</v>
      </c>
    </row>
    <row r="21" spans="1:7" x14ac:dyDescent="0.3">
      <c r="A21" s="222" t="s">
        <v>153</v>
      </c>
      <c r="B21" s="100">
        <f>Budget!B35</f>
        <v>0</v>
      </c>
      <c r="C21" s="100">
        <f>'GL Actuals'!C4</f>
        <v>0</v>
      </c>
      <c r="D21" s="100">
        <f>SUM(' Costs Detail'!G48:R48)</f>
        <v>0</v>
      </c>
      <c r="E21" s="219">
        <f t="shared" si="4"/>
        <v>0</v>
      </c>
      <c r="F21" s="100">
        <f t="shared" si="1"/>
        <v>0</v>
      </c>
    </row>
    <row r="22" spans="1:7" x14ac:dyDescent="0.3">
      <c r="A22" s="391" t="s">
        <v>191</v>
      </c>
      <c r="B22" s="99">
        <f>SUM(B23:B25)</f>
        <v>0</v>
      </c>
      <c r="C22" s="99">
        <f>SUM(C23:C25)</f>
        <v>0</v>
      </c>
      <c r="D22" s="99">
        <f>SUM(D23:D25)</f>
        <v>0</v>
      </c>
      <c r="E22" s="220">
        <f>SUM(E23:E25)</f>
        <v>0</v>
      </c>
      <c r="F22" s="99">
        <f t="shared" si="1"/>
        <v>0</v>
      </c>
    </row>
    <row r="23" spans="1:7" x14ac:dyDescent="0.3">
      <c r="A23" s="228" t="s">
        <v>32</v>
      </c>
      <c r="B23" s="100">
        <f>Budget!B21</f>
        <v>0</v>
      </c>
      <c r="C23" s="100">
        <f>'GL Actuals'!C6</f>
        <v>0</v>
      </c>
      <c r="D23" s="100">
        <f>SUM(' Costs Detail'!G26:R26)</f>
        <v>0</v>
      </c>
      <c r="E23" s="219">
        <f t="shared" si="4"/>
        <v>0</v>
      </c>
      <c r="F23" s="100">
        <f t="shared" si="1"/>
        <v>0</v>
      </c>
    </row>
    <row r="24" spans="1:7" x14ac:dyDescent="0.3">
      <c r="A24" s="228" t="s">
        <v>33</v>
      </c>
      <c r="B24" s="100">
        <f>Budget!B22</f>
        <v>0</v>
      </c>
      <c r="C24" s="100">
        <f>'GL Actuals'!C7</f>
        <v>0</v>
      </c>
      <c r="D24" s="100">
        <f>SUM(' Costs Detail'!G36:R36)</f>
        <v>0</v>
      </c>
      <c r="E24" s="219">
        <f t="shared" si="4"/>
        <v>0</v>
      </c>
      <c r="F24" s="100">
        <f t="shared" si="1"/>
        <v>0</v>
      </c>
    </row>
    <row r="25" spans="1:7" x14ac:dyDescent="0.3">
      <c r="A25" s="228" t="s">
        <v>34</v>
      </c>
      <c r="B25" s="100">
        <f>Budget!B23</f>
        <v>0</v>
      </c>
      <c r="C25" s="100">
        <f>'GL Actuals'!C5+'GL Actuals'!C8</f>
        <v>0</v>
      </c>
      <c r="D25" s="100">
        <f>SUM(' Costs Detail'!G4:R4)+SUM(' Costs Detail'!G42:R42)</f>
        <v>0</v>
      </c>
      <c r="E25" s="219">
        <f t="shared" si="4"/>
        <v>0</v>
      </c>
      <c r="F25" s="100">
        <f t="shared" si="1"/>
        <v>0</v>
      </c>
    </row>
    <row r="26" spans="1:7" s="5" customFormat="1" x14ac:dyDescent="0.3">
      <c r="A26" s="218" t="s">
        <v>193</v>
      </c>
      <c r="B26" s="99">
        <f>B19+B22</f>
        <v>0</v>
      </c>
      <c r="C26" s="99">
        <f>C19+C22</f>
        <v>0</v>
      </c>
      <c r="D26" s="99">
        <f>D19+D22</f>
        <v>0</v>
      </c>
      <c r="E26" s="220">
        <f>E19+E22</f>
        <v>0</v>
      </c>
      <c r="F26" s="99">
        <f t="shared" si="1"/>
        <v>0</v>
      </c>
    </row>
    <row r="27" spans="1:7" s="5" customFormat="1" x14ac:dyDescent="0.3">
      <c r="A27" s="392" t="s">
        <v>194</v>
      </c>
      <c r="B27" s="217">
        <f>B35*Assumptions!$B$6</f>
        <v>0</v>
      </c>
      <c r="C27" s="217">
        <f>C35*Assumptions!$B$6</f>
        <v>0</v>
      </c>
      <c r="D27" s="217">
        <f>D35*Assumptions!$B$6</f>
        <v>0</v>
      </c>
      <c r="E27" s="221">
        <f>E35*Assumptions!$B$6</f>
        <v>0</v>
      </c>
      <c r="F27" s="100">
        <f>F35*Assumptions!$B$6</f>
        <v>0</v>
      </c>
    </row>
    <row r="28" spans="1:7" s="5" customFormat="1" x14ac:dyDescent="0.3">
      <c r="A28" s="218" t="s">
        <v>195</v>
      </c>
      <c r="B28" s="99">
        <f>SUM(B26:B27)</f>
        <v>0</v>
      </c>
      <c r="C28" s="99">
        <f t="shared" ref="C28:F28" si="5">SUM(C26:C27)</f>
        <v>0</v>
      </c>
      <c r="D28" s="99">
        <f t="shared" si="5"/>
        <v>0</v>
      </c>
      <c r="E28" s="220">
        <f t="shared" si="5"/>
        <v>0</v>
      </c>
      <c r="F28" s="99">
        <f t="shared" si="5"/>
        <v>0</v>
      </c>
    </row>
    <row r="29" spans="1:7" ht="7.35" customHeight="1" x14ac:dyDescent="0.3">
      <c r="A29" s="226"/>
      <c r="B29" s="27"/>
      <c r="C29" s="27"/>
      <c r="D29" s="27"/>
      <c r="E29" s="43"/>
      <c r="F29" s="39"/>
      <c r="G29" s="59"/>
    </row>
    <row r="30" spans="1:7" s="5" customFormat="1" x14ac:dyDescent="0.3">
      <c r="A30" s="216" t="s">
        <v>198</v>
      </c>
      <c r="B30" s="100">
        <f>B15-B26</f>
        <v>0</v>
      </c>
      <c r="C30" s="100">
        <f>C15-C26</f>
        <v>0</v>
      </c>
      <c r="D30" s="100">
        <f>D15-D26</f>
        <v>0</v>
      </c>
      <c r="E30" s="100">
        <f>E15-E26</f>
        <v>0</v>
      </c>
      <c r="F30" s="413"/>
    </row>
    <row r="31" spans="1:7" ht="7.35" customHeight="1" x14ac:dyDescent="0.3">
      <c r="A31" s="152"/>
      <c r="B31" s="63"/>
      <c r="C31" s="63"/>
      <c r="D31" s="63"/>
      <c r="E31" s="39"/>
      <c r="F31" s="39"/>
      <c r="G31" s="59"/>
    </row>
    <row r="32" spans="1:7" s="28" customFormat="1" x14ac:dyDescent="0.3">
      <c r="A32" s="227" t="s">
        <v>192</v>
      </c>
      <c r="B32" s="104">
        <f>SUM(B33:B35)</f>
        <v>0</v>
      </c>
      <c r="C32" s="104">
        <f t="shared" ref="C32:F32" si="6">SUM(C33:C35)</f>
        <v>0</v>
      </c>
      <c r="D32" s="104">
        <f t="shared" si="6"/>
        <v>0</v>
      </c>
      <c r="E32" s="101">
        <f t="shared" si="6"/>
        <v>0</v>
      </c>
      <c r="F32" s="101">
        <f t="shared" si="6"/>
        <v>0</v>
      </c>
    </row>
    <row r="33" spans="1:7" s="28" customFormat="1" x14ac:dyDescent="0.3">
      <c r="A33" s="228" t="s">
        <v>152</v>
      </c>
      <c r="B33" s="103">
        <f>Budget!B28</f>
        <v>0</v>
      </c>
      <c r="C33" s="103">
        <f>SUM('Labor Hours'!C10:N10)</f>
        <v>0</v>
      </c>
      <c r="D33" s="103">
        <f>SUM('Labor Forecast'!I25:T25)</f>
        <v>0</v>
      </c>
      <c r="E33" s="102">
        <f>C33+D33</f>
        <v>0</v>
      </c>
      <c r="F33" s="102">
        <f>B33-E33</f>
        <v>0</v>
      </c>
    </row>
    <row r="34" spans="1:7" s="28" customFormat="1" x14ac:dyDescent="0.3">
      <c r="A34" s="228" t="s">
        <v>153</v>
      </c>
      <c r="B34" s="103">
        <f>Budget!B29</f>
        <v>0</v>
      </c>
      <c r="C34" s="103">
        <f>SUM('Labor Hours'!C13:N13)</f>
        <v>0</v>
      </c>
      <c r="D34" s="103">
        <f>SUM('Labor Forecast'!I27:T27)</f>
        <v>0</v>
      </c>
      <c r="E34" s="102">
        <f t="shared" ref="E34:E35" si="7">C34+D34</f>
        <v>0</v>
      </c>
      <c r="F34" s="102">
        <f>B34-E34</f>
        <v>0</v>
      </c>
    </row>
    <row r="35" spans="1:7" s="28" customFormat="1" x14ac:dyDescent="0.3">
      <c r="A35" s="228" t="s">
        <v>162</v>
      </c>
      <c r="B35" s="103">
        <f>Budget!B30</f>
        <v>0</v>
      </c>
      <c r="C35" s="103">
        <f>SUM('Labor Hours'!C6:N6)</f>
        <v>0</v>
      </c>
      <c r="D35" s="103">
        <f>SUM('Labor Forecast'!I30:T30)</f>
        <v>0</v>
      </c>
      <c r="E35" s="102">
        <f t="shared" si="7"/>
        <v>0</v>
      </c>
      <c r="F35" s="102">
        <f>B35-E35</f>
        <v>0</v>
      </c>
    </row>
    <row r="36" spans="1:7" ht="7.35" customHeight="1" x14ac:dyDescent="0.3">
      <c r="A36" s="152"/>
      <c r="B36" s="63"/>
      <c r="C36" s="63"/>
      <c r="D36" s="63"/>
      <c r="E36" s="39"/>
      <c r="F36" s="39"/>
      <c r="G36" s="59"/>
    </row>
    <row r="37" spans="1:7" x14ac:dyDescent="0.3">
      <c r="A37" s="229" t="s">
        <v>52</v>
      </c>
      <c r="B37" s="98">
        <f>Budget!B24</f>
        <v>0</v>
      </c>
      <c r="C37" s="390">
        <v>0</v>
      </c>
      <c r="D37" s="39"/>
      <c r="E37" s="39"/>
      <c r="F37" s="65"/>
    </row>
  </sheetData>
  <mergeCells count="9">
    <mergeCell ref="A18:F18"/>
    <mergeCell ref="B8:D8"/>
    <mergeCell ref="A10:F10"/>
    <mergeCell ref="B2:D2"/>
    <mergeCell ref="B3:D3"/>
    <mergeCell ref="B4:D4"/>
    <mergeCell ref="B5:D5"/>
    <mergeCell ref="B6:D6"/>
    <mergeCell ref="B7:D7"/>
  </mergeCells>
  <pageMargins left="0.7" right="0.7" top="0.75" bottom="0.75" header="0.3" footer="0.3"/>
  <pageSetup orientation="landscape" r:id="rId1"/>
  <headerFooter>
    <oddHeader>&amp;L&amp;G</oddHeader>
    <oddFooter xml:space="preserve">&amp;C
</oddFooter>
  </headerFooter>
  <ignoredErrors>
    <ignoredError sqref="E22" 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8"/>
  <sheetViews>
    <sheetView showGridLines="0" view="pageLayout" zoomScaleNormal="100" workbookViewId="0">
      <selection activeCell="B16" sqref="B16:F16"/>
    </sheetView>
  </sheetViews>
  <sheetFormatPr defaultColWidth="9.109375" defaultRowHeight="13.8" x14ac:dyDescent="0.3"/>
  <cols>
    <col min="1" max="1" width="26.109375" style="1" bestFit="1" customWidth="1"/>
    <col min="2" max="6" width="16.88671875" style="1" customWidth="1"/>
    <col min="7" max="7" width="6.44140625" style="1" customWidth="1"/>
    <col min="8" max="16384" width="9.109375" style="1"/>
  </cols>
  <sheetData>
    <row r="1" spans="1:6" ht="11.25" customHeight="1" thickBot="1" x14ac:dyDescent="0.35"/>
    <row r="2" spans="1:6" ht="15" thickTop="1" x14ac:dyDescent="0.3">
      <c r="A2" s="30" t="s">
        <v>0</v>
      </c>
      <c r="B2" s="441">
        <f>'Project Summary'!B1:D1</f>
        <v>0</v>
      </c>
      <c r="C2" s="442"/>
      <c r="D2" s="443"/>
      <c r="E2" s="32"/>
    </row>
    <row r="3" spans="1:6" ht="14.4" x14ac:dyDescent="0.3">
      <c r="A3" s="37" t="s">
        <v>1</v>
      </c>
      <c r="B3" s="444">
        <f>'Project Summary'!B2:D2</f>
        <v>0</v>
      </c>
      <c r="C3" s="445"/>
      <c r="D3" s="446"/>
      <c r="E3" s="32"/>
    </row>
    <row r="4" spans="1:6" ht="14.4" x14ac:dyDescent="0.3">
      <c r="A4" s="37" t="s">
        <v>73</v>
      </c>
      <c r="B4" s="447">
        <f>'Project Summary'!B3:D3</f>
        <v>0</v>
      </c>
      <c r="C4" s="448"/>
      <c r="D4" s="449"/>
      <c r="E4" s="32"/>
    </row>
    <row r="5" spans="1:6" ht="15" customHeight="1" x14ac:dyDescent="0.3">
      <c r="A5" s="37" t="s">
        <v>72</v>
      </c>
      <c r="B5" s="447">
        <f>'Project Summary'!B4:D4</f>
        <v>0</v>
      </c>
      <c r="C5" s="448"/>
      <c r="D5" s="449"/>
      <c r="E5" s="32"/>
    </row>
    <row r="6" spans="1:6" ht="14.4" x14ac:dyDescent="0.3">
      <c r="A6" s="37" t="s">
        <v>51</v>
      </c>
      <c r="B6" s="438">
        <f>'Project Summary'!B5:D5</f>
        <v>0</v>
      </c>
      <c r="C6" s="439"/>
      <c r="D6" s="440"/>
      <c r="E6" s="33"/>
    </row>
    <row r="7" spans="1:6" ht="14.4" x14ac:dyDescent="0.3">
      <c r="A7" s="37" t="s">
        <v>74</v>
      </c>
      <c r="B7" s="438">
        <f>'Project Summary'!B6:D6</f>
        <v>0</v>
      </c>
      <c r="C7" s="439"/>
      <c r="D7" s="440"/>
      <c r="E7" s="33"/>
    </row>
    <row r="8" spans="1:6" ht="15" thickBot="1" x14ac:dyDescent="0.35">
      <c r="A8" s="38" t="s">
        <v>111</v>
      </c>
      <c r="B8" s="438">
        <f>'Project Summary'!B7:D7</f>
        <v>0</v>
      </c>
      <c r="C8" s="439"/>
      <c r="D8" s="440"/>
      <c r="E8" s="33"/>
    </row>
    <row r="9" spans="1:6" ht="7.35" customHeight="1" thickTop="1" thickBot="1" x14ac:dyDescent="0.35"/>
    <row r="10" spans="1:6" s="3" customFormat="1" ht="24" customHeight="1" thickTop="1" thickBot="1" x14ac:dyDescent="0.35">
      <c r="A10" s="425" t="str">
        <f>CONCATENATE(Assumptions!B3," Summary")</f>
        <v>FY16 Summary</v>
      </c>
      <c r="B10" s="426"/>
      <c r="C10" s="426"/>
      <c r="D10" s="426"/>
      <c r="E10" s="426"/>
      <c r="F10" s="427"/>
    </row>
    <row r="11" spans="1:6" s="4" customFormat="1" ht="42.6" thickTop="1" thickBot="1" x14ac:dyDescent="0.35">
      <c r="A11" s="231"/>
      <c r="B11" s="231" t="s">
        <v>76</v>
      </c>
      <c r="C11" s="231" t="s">
        <v>79</v>
      </c>
      <c r="D11" s="231" t="s">
        <v>89</v>
      </c>
      <c r="E11" s="231" t="s">
        <v>53</v>
      </c>
      <c r="F11" s="231" t="s">
        <v>54</v>
      </c>
    </row>
    <row r="12" spans="1:6" ht="16.5" customHeight="1" thickTop="1" x14ac:dyDescent="0.3">
      <c r="A12" s="424" t="s">
        <v>2</v>
      </c>
      <c r="B12" s="424"/>
      <c r="C12" s="424"/>
      <c r="D12" s="424"/>
      <c r="E12" s="424"/>
      <c r="F12" s="424"/>
    </row>
    <row r="13" spans="1:6" x14ac:dyDescent="0.3">
      <c r="A13" s="222" t="s">
        <v>185</v>
      </c>
      <c r="B13" s="100">
        <f>SUM(Budget!C6:C9)</f>
        <v>0</v>
      </c>
      <c r="C13" s="100">
        <f>'GL Actuals'!C25</f>
        <v>0</v>
      </c>
      <c r="D13" s="232"/>
      <c r="E13" s="100">
        <f>C13+D13</f>
        <v>0</v>
      </c>
      <c r="F13" s="100">
        <f>B13-E13</f>
        <v>0</v>
      </c>
    </row>
    <row r="14" spans="1:6" x14ac:dyDescent="0.3">
      <c r="A14" s="222" t="s">
        <v>186</v>
      </c>
      <c r="B14" s="100">
        <f>Budget!C10</f>
        <v>0</v>
      </c>
      <c r="C14" s="100">
        <f>'GL Actuals'!C26</f>
        <v>0</v>
      </c>
      <c r="D14" s="232"/>
      <c r="E14" s="100">
        <f t="shared" ref="E14" si="0">C14+D14</f>
        <v>0</v>
      </c>
      <c r="F14" s="100">
        <f t="shared" ref="F14:F26" si="1">B14-E14</f>
        <v>0</v>
      </c>
    </row>
    <row r="15" spans="1:6" s="5" customFormat="1" x14ac:dyDescent="0.3">
      <c r="A15" s="223" t="s">
        <v>189</v>
      </c>
      <c r="B15" s="99">
        <f>SUM(B13:B14)</f>
        <v>0</v>
      </c>
      <c r="C15" s="99">
        <f>SUM(C13:C14)</f>
        <v>0</v>
      </c>
      <c r="D15" s="99">
        <f>SUM(D13:D14)</f>
        <v>0</v>
      </c>
      <c r="E15" s="99">
        <f>SUM(E13:E14)</f>
        <v>0</v>
      </c>
      <c r="F15" s="99">
        <f>SUM(F13:F14)</f>
        <v>0</v>
      </c>
    </row>
    <row r="16" spans="1:6" ht="16.5" customHeight="1" x14ac:dyDescent="0.3">
      <c r="A16" s="224" t="s">
        <v>162</v>
      </c>
      <c r="B16" s="100">
        <f>B27</f>
        <v>0</v>
      </c>
      <c r="C16" s="100">
        <f>C27</f>
        <v>0</v>
      </c>
      <c r="D16" s="100">
        <f t="shared" ref="D16:F16" si="2">D27</f>
        <v>0</v>
      </c>
      <c r="E16" s="100">
        <f t="shared" si="2"/>
        <v>0</v>
      </c>
      <c r="F16" s="100">
        <f t="shared" si="2"/>
        <v>0</v>
      </c>
    </row>
    <row r="17" spans="1:7" ht="16.5" customHeight="1" x14ac:dyDescent="0.3">
      <c r="A17" s="223" t="s">
        <v>184</v>
      </c>
      <c r="B17" s="99">
        <f>SUM(B15:B16)</f>
        <v>0</v>
      </c>
      <c r="C17" s="99">
        <f t="shared" ref="C17:E17" si="3">SUM(C15:C16)</f>
        <v>0</v>
      </c>
      <c r="D17" s="99">
        <f t="shared" si="3"/>
        <v>0</v>
      </c>
      <c r="E17" s="99">
        <f t="shared" si="3"/>
        <v>0</v>
      </c>
      <c r="F17" s="99">
        <f>SUM(F15:F16)</f>
        <v>0</v>
      </c>
    </row>
    <row r="18" spans="1:7" ht="16.5" customHeight="1" x14ac:dyDescent="0.3">
      <c r="A18" s="424" t="s">
        <v>188</v>
      </c>
      <c r="B18" s="424"/>
      <c r="C18" s="424"/>
      <c r="D18" s="424"/>
      <c r="E18" s="424"/>
      <c r="F18" s="424"/>
    </row>
    <row r="19" spans="1:7" x14ac:dyDescent="0.3">
      <c r="A19" s="44" t="s">
        <v>190</v>
      </c>
      <c r="B19" s="99">
        <f>SUM(B20:B21)</f>
        <v>0</v>
      </c>
      <c r="C19" s="99">
        <f>SUM(C20:C21)</f>
        <v>0</v>
      </c>
      <c r="D19" s="99">
        <f>SUM(D20:D21)</f>
        <v>0</v>
      </c>
      <c r="E19" s="220">
        <f>C19+D19</f>
        <v>0</v>
      </c>
      <c r="F19" s="99">
        <f t="shared" si="1"/>
        <v>0</v>
      </c>
    </row>
    <row r="20" spans="1:7" x14ac:dyDescent="0.3">
      <c r="A20" s="61" t="s">
        <v>152</v>
      </c>
      <c r="B20" s="100">
        <f>Budget!C34</f>
        <v>0</v>
      </c>
      <c r="C20" s="100">
        <f>'GL Actuals'!C17</f>
        <v>0</v>
      </c>
      <c r="D20" s="100">
        <f>SUM('Labor Forecast'!U24:AF24)</f>
        <v>0</v>
      </c>
      <c r="E20" s="219">
        <f t="shared" ref="E20:E25" si="4">C20+D20</f>
        <v>0</v>
      </c>
      <c r="F20" s="100">
        <f t="shared" si="1"/>
        <v>0</v>
      </c>
    </row>
    <row r="21" spans="1:7" x14ac:dyDescent="0.3">
      <c r="A21" s="61" t="s">
        <v>153</v>
      </c>
      <c r="B21" s="100">
        <f>Budget!C35</f>
        <v>0</v>
      </c>
      <c r="C21" s="100">
        <f>'GL Actuals'!C18</f>
        <v>0</v>
      </c>
      <c r="D21" s="100">
        <f>SUM(' Costs Detail'!S48:AD48)</f>
        <v>0</v>
      </c>
      <c r="E21" s="219">
        <f t="shared" si="4"/>
        <v>0</v>
      </c>
      <c r="F21" s="100">
        <f t="shared" si="1"/>
        <v>0</v>
      </c>
    </row>
    <row r="22" spans="1:7" x14ac:dyDescent="0.3">
      <c r="A22" s="31" t="s">
        <v>191</v>
      </c>
      <c r="B22" s="99">
        <f>SUM(B23:B25)</f>
        <v>0</v>
      </c>
      <c r="C22" s="99">
        <f>SUM(C23:C25)</f>
        <v>0</v>
      </c>
      <c r="D22" s="99">
        <f>SUM(D23:D25)</f>
        <v>0</v>
      </c>
      <c r="E22" s="220">
        <f>SUM(E23:E25)</f>
        <v>0</v>
      </c>
      <c r="F22" s="99">
        <f t="shared" si="1"/>
        <v>0</v>
      </c>
    </row>
    <row r="23" spans="1:7" x14ac:dyDescent="0.3">
      <c r="A23" s="60" t="s">
        <v>32</v>
      </c>
      <c r="B23" s="100">
        <f>Budget!C21</f>
        <v>0</v>
      </c>
      <c r="C23" s="100">
        <f>'GL Actuals'!C20</f>
        <v>0</v>
      </c>
      <c r="D23" s="100">
        <f>SUM(' Costs Detail'!S26:AD26)</f>
        <v>0</v>
      </c>
      <c r="E23" s="219">
        <f t="shared" si="4"/>
        <v>0</v>
      </c>
      <c r="F23" s="100">
        <f t="shared" si="1"/>
        <v>0</v>
      </c>
    </row>
    <row r="24" spans="1:7" x14ac:dyDescent="0.3">
      <c r="A24" s="60" t="s">
        <v>33</v>
      </c>
      <c r="B24" s="100">
        <f>Budget!C22</f>
        <v>0</v>
      </c>
      <c r="C24" s="100">
        <f>'GL Actuals'!C21</f>
        <v>0</v>
      </c>
      <c r="D24" s="100">
        <f>SUM(' Costs Detail'!S36:AD36)</f>
        <v>0</v>
      </c>
      <c r="E24" s="219">
        <f t="shared" si="4"/>
        <v>0</v>
      </c>
      <c r="F24" s="100">
        <f t="shared" si="1"/>
        <v>0</v>
      </c>
    </row>
    <row r="25" spans="1:7" x14ac:dyDescent="0.3">
      <c r="A25" s="60" t="s">
        <v>34</v>
      </c>
      <c r="B25" s="100">
        <f>Budget!C23</f>
        <v>0</v>
      </c>
      <c r="C25" s="100">
        <f>'GL Actuals'!C19+'GL Actuals'!C22</f>
        <v>0</v>
      </c>
      <c r="D25" s="100">
        <f>SUM(' Costs Detail'!S4:AD4)+SUM(' Costs Detail'!S42:AD42)</f>
        <v>0</v>
      </c>
      <c r="E25" s="219">
        <f t="shared" si="4"/>
        <v>0</v>
      </c>
      <c r="F25" s="100">
        <f t="shared" si="1"/>
        <v>0</v>
      </c>
    </row>
    <row r="26" spans="1:7" s="5" customFormat="1" x14ac:dyDescent="0.3">
      <c r="A26" s="44" t="s">
        <v>193</v>
      </c>
      <c r="B26" s="99">
        <f>B19+B22</f>
        <v>0</v>
      </c>
      <c r="C26" s="99">
        <f>C19+C22</f>
        <v>0</v>
      </c>
      <c r="D26" s="99">
        <f>D19+D22</f>
        <v>0</v>
      </c>
      <c r="E26" s="220">
        <f>E19+E22</f>
        <v>0</v>
      </c>
      <c r="F26" s="99">
        <f t="shared" si="1"/>
        <v>0</v>
      </c>
    </row>
    <row r="27" spans="1:7" s="5" customFormat="1" x14ac:dyDescent="0.3">
      <c r="A27" s="213" t="s">
        <v>194</v>
      </c>
      <c r="B27" s="217">
        <f>B35*Assumptions!$B$6</f>
        <v>0</v>
      </c>
      <c r="C27" s="217">
        <f>C35*Assumptions!$B$6</f>
        <v>0</v>
      </c>
      <c r="D27" s="217">
        <f>D35*Assumptions!$B$6</f>
        <v>0</v>
      </c>
      <c r="E27" s="221">
        <f>E35*Assumptions!$B$6</f>
        <v>0</v>
      </c>
      <c r="F27" s="100">
        <f>F35*Assumptions!$B$6</f>
        <v>0</v>
      </c>
    </row>
    <row r="28" spans="1:7" s="5" customFormat="1" x14ac:dyDescent="0.3">
      <c r="A28" s="218" t="s">
        <v>195</v>
      </c>
      <c r="B28" s="99">
        <f>SUM(B26:B27)</f>
        <v>0</v>
      </c>
      <c r="C28" s="99">
        <f t="shared" ref="C28:F28" si="5">SUM(C26:C27)</f>
        <v>0</v>
      </c>
      <c r="D28" s="99">
        <f t="shared" si="5"/>
        <v>0</v>
      </c>
      <c r="E28" s="220">
        <f t="shared" si="5"/>
        <v>0</v>
      </c>
      <c r="F28" s="99">
        <f t="shared" si="5"/>
        <v>0</v>
      </c>
    </row>
    <row r="29" spans="1:7" ht="7.35" customHeight="1" x14ac:dyDescent="0.3">
      <c r="A29" s="226"/>
      <c r="B29" s="27"/>
      <c r="C29" s="27"/>
      <c r="D29" s="27"/>
      <c r="E29" s="43"/>
      <c r="F29" s="39"/>
      <c r="G29" s="59"/>
    </row>
    <row r="30" spans="1:7" s="5" customFormat="1" x14ac:dyDescent="0.3">
      <c r="A30" s="216" t="s">
        <v>198</v>
      </c>
      <c r="B30" s="100">
        <f>B15-B26</f>
        <v>0</v>
      </c>
      <c r="C30" s="100">
        <f t="shared" ref="C30:E30" si="6">C15-C26</f>
        <v>0</v>
      </c>
      <c r="D30" s="100">
        <f t="shared" si="6"/>
        <v>0</v>
      </c>
      <c r="E30" s="100">
        <f t="shared" si="6"/>
        <v>0</v>
      </c>
      <c r="F30" s="413"/>
    </row>
    <row r="31" spans="1:7" ht="7.35" customHeight="1" x14ac:dyDescent="0.3">
      <c r="A31" s="152"/>
      <c r="B31" s="63"/>
      <c r="C31" s="63"/>
      <c r="D31" s="63"/>
      <c r="E31" s="39"/>
      <c r="F31" s="39"/>
      <c r="G31" s="59"/>
    </row>
    <row r="32" spans="1:7" s="28" customFormat="1" x14ac:dyDescent="0.3">
      <c r="A32" s="227" t="s">
        <v>192</v>
      </c>
      <c r="B32" s="101">
        <f>SUM(B33:B35)</f>
        <v>0</v>
      </c>
      <c r="C32" s="101">
        <f t="shared" ref="C32:F32" si="7">SUM(C33:C35)</f>
        <v>0</v>
      </c>
      <c r="D32" s="101">
        <f t="shared" si="7"/>
        <v>0</v>
      </c>
      <c r="E32" s="101">
        <f t="shared" si="7"/>
        <v>0</v>
      </c>
      <c r="F32" s="101">
        <f t="shared" si="7"/>
        <v>0</v>
      </c>
    </row>
    <row r="33" spans="1:7" s="28" customFormat="1" x14ac:dyDescent="0.3">
      <c r="A33" s="228" t="s">
        <v>152</v>
      </c>
      <c r="B33" s="102">
        <f>Budget!C28</f>
        <v>0</v>
      </c>
      <c r="C33" s="102">
        <f>SUM('Labor Hours'!O10:Z10)</f>
        <v>0</v>
      </c>
      <c r="D33" s="103">
        <f>SUM('Labor Forecast'!U25:AF25)</f>
        <v>0</v>
      </c>
      <c r="E33" s="102">
        <f>C33+D33</f>
        <v>0</v>
      </c>
      <c r="F33" s="102">
        <f>B33-E33</f>
        <v>0</v>
      </c>
    </row>
    <row r="34" spans="1:7" s="28" customFormat="1" x14ac:dyDescent="0.3">
      <c r="A34" s="228" t="s">
        <v>153</v>
      </c>
      <c r="B34" s="102">
        <f>Budget!C29</f>
        <v>0</v>
      </c>
      <c r="C34" s="102">
        <f>SUM('Labor Hours'!O13:Z13)</f>
        <v>0</v>
      </c>
      <c r="D34" s="103">
        <f>SUM('Labor Forecast'!U27:AF27)</f>
        <v>0</v>
      </c>
      <c r="E34" s="102">
        <f t="shared" ref="E34:E35" si="8">C34+D34</f>
        <v>0</v>
      </c>
      <c r="F34" s="102">
        <f t="shared" ref="F34:F35" si="9">B34-E34</f>
        <v>0</v>
      </c>
    </row>
    <row r="35" spans="1:7" s="28" customFormat="1" x14ac:dyDescent="0.3">
      <c r="A35" s="228" t="s">
        <v>162</v>
      </c>
      <c r="B35" s="102">
        <f>Budget!C30</f>
        <v>0</v>
      </c>
      <c r="C35" s="102">
        <f>SUM('Labor Hours'!O6:Z6)</f>
        <v>0</v>
      </c>
      <c r="D35" s="103">
        <f>SUM('Labor Forecast'!U30:AF30)</f>
        <v>0</v>
      </c>
      <c r="E35" s="102">
        <f t="shared" si="8"/>
        <v>0</v>
      </c>
      <c r="F35" s="102">
        <f t="shared" si="9"/>
        <v>0</v>
      </c>
    </row>
    <row r="36" spans="1:7" ht="7.35" customHeight="1" x14ac:dyDescent="0.3">
      <c r="A36" s="152"/>
      <c r="B36" s="63"/>
      <c r="C36" s="63"/>
      <c r="D36" s="63"/>
      <c r="E36" s="39"/>
      <c r="F36" s="39"/>
      <c r="G36" s="59"/>
    </row>
    <row r="37" spans="1:7" s="2" customFormat="1" x14ac:dyDescent="0.3">
      <c r="A37" s="229" t="s">
        <v>52</v>
      </c>
      <c r="B37" s="98">
        <f>Budget!C24</f>
        <v>0</v>
      </c>
      <c r="C37" s="390">
        <v>0</v>
      </c>
      <c r="D37" s="39"/>
      <c r="E37" s="39"/>
      <c r="F37" s="65"/>
    </row>
    <row r="38" spans="1:7" ht="7.35" customHeight="1" x14ac:dyDescent="0.3"/>
  </sheetData>
  <mergeCells count="10">
    <mergeCell ref="A18:F18"/>
    <mergeCell ref="A12:F12"/>
    <mergeCell ref="B8:D8"/>
    <mergeCell ref="A10:F10"/>
    <mergeCell ref="B2:D2"/>
    <mergeCell ref="B3:D3"/>
    <mergeCell ref="B4:D4"/>
    <mergeCell ref="B5:D5"/>
    <mergeCell ref="B6:D6"/>
    <mergeCell ref="B7:D7"/>
  </mergeCells>
  <pageMargins left="0.7" right="0.7" top="0.75" bottom="0.75" header="0.3" footer="0.3"/>
  <pageSetup orientation="landscape" r:id="rId1"/>
  <headerFooter>
    <oddHeader>&amp;L&amp;G</oddHeader>
    <oddFooter xml:space="preserve">&amp;C
</oddFooter>
  </headerFooter>
  <ignoredErrors>
    <ignoredError sqref="E22"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7"/>
  <sheetViews>
    <sheetView showGridLines="0" view="pageLayout" zoomScaleNormal="100" workbookViewId="0">
      <selection activeCell="B16" sqref="B16:F16"/>
    </sheetView>
  </sheetViews>
  <sheetFormatPr defaultColWidth="9.109375" defaultRowHeight="13.8" x14ac:dyDescent="0.3"/>
  <cols>
    <col min="1" max="1" width="26.109375" style="1" bestFit="1" customWidth="1"/>
    <col min="2" max="6" width="16.88671875" style="1" customWidth="1"/>
    <col min="7" max="7" width="6" style="1" customWidth="1"/>
    <col min="8" max="16384" width="9.109375" style="1"/>
  </cols>
  <sheetData>
    <row r="1" spans="1:6" ht="11.25" customHeight="1" thickBot="1" x14ac:dyDescent="0.35"/>
    <row r="2" spans="1:6" ht="15" thickTop="1" x14ac:dyDescent="0.3">
      <c r="A2" s="30" t="s">
        <v>0</v>
      </c>
      <c r="B2" s="441">
        <f>'Project Summary'!B1:D1</f>
        <v>0</v>
      </c>
      <c r="C2" s="442"/>
      <c r="D2" s="443"/>
      <c r="E2" s="32"/>
    </row>
    <row r="3" spans="1:6" ht="14.4" x14ac:dyDescent="0.3">
      <c r="A3" s="37" t="s">
        <v>1</v>
      </c>
      <c r="B3" s="444">
        <f>'Project Summary'!B2:D2</f>
        <v>0</v>
      </c>
      <c r="C3" s="445"/>
      <c r="D3" s="446"/>
      <c r="E3" s="32"/>
    </row>
    <row r="4" spans="1:6" ht="14.4" x14ac:dyDescent="0.3">
      <c r="A4" s="37" t="s">
        <v>73</v>
      </c>
      <c r="B4" s="447">
        <f>'Project Summary'!B3:D3</f>
        <v>0</v>
      </c>
      <c r="C4" s="448"/>
      <c r="D4" s="449"/>
      <c r="E4" s="32"/>
    </row>
    <row r="5" spans="1:6" ht="15" customHeight="1" x14ac:dyDescent="0.3">
      <c r="A5" s="37" t="s">
        <v>72</v>
      </c>
      <c r="B5" s="447">
        <f>'Project Summary'!B4:D4</f>
        <v>0</v>
      </c>
      <c r="C5" s="448"/>
      <c r="D5" s="449"/>
      <c r="E5" s="32"/>
    </row>
    <row r="6" spans="1:6" ht="14.4" x14ac:dyDescent="0.3">
      <c r="A6" s="37" t="s">
        <v>51</v>
      </c>
      <c r="B6" s="438">
        <f>'Project Summary'!B5:D5</f>
        <v>0</v>
      </c>
      <c r="C6" s="439"/>
      <c r="D6" s="440"/>
      <c r="E6" s="33"/>
    </row>
    <row r="7" spans="1:6" ht="14.4" x14ac:dyDescent="0.3">
      <c r="A7" s="37" t="s">
        <v>74</v>
      </c>
      <c r="B7" s="438">
        <f>'Project Summary'!B6:D6</f>
        <v>0</v>
      </c>
      <c r="C7" s="439"/>
      <c r="D7" s="440"/>
      <c r="E7" s="33"/>
    </row>
    <row r="8" spans="1:6" ht="15" thickBot="1" x14ac:dyDescent="0.35">
      <c r="A8" s="38" t="s">
        <v>111</v>
      </c>
      <c r="B8" s="438">
        <f>'Project Summary'!B7:D7</f>
        <v>0</v>
      </c>
      <c r="C8" s="439"/>
      <c r="D8" s="440"/>
      <c r="E8" s="33"/>
    </row>
    <row r="9" spans="1:6" ht="7.35" customHeight="1" thickTop="1" thickBot="1" x14ac:dyDescent="0.35"/>
    <row r="10" spans="1:6" s="3" customFormat="1" ht="24" customHeight="1" thickTop="1" thickBot="1" x14ac:dyDescent="0.35">
      <c r="A10" s="425" t="str">
        <f>CONCATENATE(Assumptions!B4," Summary")</f>
        <v>FY17 Summary</v>
      </c>
      <c r="B10" s="426"/>
      <c r="C10" s="426"/>
      <c r="D10" s="426"/>
      <c r="E10" s="426"/>
      <c r="F10" s="427"/>
    </row>
    <row r="11" spans="1:6" s="4" customFormat="1" ht="42.6" thickTop="1" thickBot="1" x14ac:dyDescent="0.35">
      <c r="A11" s="231"/>
      <c r="B11" s="231" t="s">
        <v>76</v>
      </c>
      <c r="C11" s="231" t="s">
        <v>79</v>
      </c>
      <c r="D11" s="231" t="s">
        <v>89</v>
      </c>
      <c r="E11" s="231" t="s">
        <v>53</v>
      </c>
      <c r="F11" s="231" t="s">
        <v>54</v>
      </c>
    </row>
    <row r="12" spans="1:6" ht="16.5" customHeight="1" thickTop="1" x14ac:dyDescent="0.3">
      <c r="A12" s="424" t="s">
        <v>2</v>
      </c>
      <c r="B12" s="424"/>
      <c r="C12" s="424"/>
      <c r="D12" s="424"/>
      <c r="E12" s="424"/>
      <c r="F12" s="424"/>
    </row>
    <row r="13" spans="1:6" x14ac:dyDescent="0.3">
      <c r="A13" s="222" t="s">
        <v>185</v>
      </c>
      <c r="B13" s="100">
        <f>SUM(Budget!D6:D9)</f>
        <v>0</v>
      </c>
      <c r="C13" s="100">
        <f>'GL Actuals'!C39</f>
        <v>0</v>
      </c>
      <c r="D13" s="232"/>
      <c r="E13" s="100">
        <f>C13+D13</f>
        <v>0</v>
      </c>
      <c r="F13" s="100">
        <f>B13-E13</f>
        <v>0</v>
      </c>
    </row>
    <row r="14" spans="1:6" x14ac:dyDescent="0.3">
      <c r="A14" s="222" t="s">
        <v>186</v>
      </c>
      <c r="B14" s="100">
        <f>Budget!D10</f>
        <v>0</v>
      </c>
      <c r="C14" s="100">
        <f>'GL Actuals'!C40</f>
        <v>0</v>
      </c>
      <c r="D14" s="232"/>
      <c r="E14" s="100">
        <f t="shared" ref="E14" si="0">C14+D14</f>
        <v>0</v>
      </c>
      <c r="F14" s="100">
        <f t="shared" ref="F14:F26" si="1">B14-E14</f>
        <v>0</v>
      </c>
    </row>
    <row r="15" spans="1:6" s="5" customFormat="1" x14ac:dyDescent="0.3">
      <c r="A15" s="223" t="s">
        <v>189</v>
      </c>
      <c r="B15" s="99">
        <f>SUM(B13:B14)</f>
        <v>0</v>
      </c>
      <c r="C15" s="99">
        <f>SUM(C13:C14)</f>
        <v>0</v>
      </c>
      <c r="D15" s="99">
        <f>SUM(D13:D14)</f>
        <v>0</v>
      </c>
      <c r="E15" s="99">
        <f>SUM(E13:E14)</f>
        <v>0</v>
      </c>
      <c r="F15" s="99">
        <f t="shared" si="1"/>
        <v>0</v>
      </c>
    </row>
    <row r="16" spans="1:6" ht="16.5" customHeight="1" x14ac:dyDescent="0.3">
      <c r="A16" s="224" t="s">
        <v>162</v>
      </c>
      <c r="B16" s="100">
        <f>B27</f>
        <v>0</v>
      </c>
      <c r="C16" s="100">
        <f>C27</f>
        <v>0</v>
      </c>
      <c r="D16" s="100">
        <f t="shared" ref="D16:F16" si="2">D27</f>
        <v>0</v>
      </c>
      <c r="E16" s="100">
        <f t="shared" si="2"/>
        <v>0</v>
      </c>
      <c r="F16" s="100">
        <f t="shared" si="2"/>
        <v>0</v>
      </c>
    </row>
    <row r="17" spans="1:7" ht="16.5" customHeight="1" x14ac:dyDescent="0.3">
      <c r="A17" s="223" t="s">
        <v>184</v>
      </c>
      <c r="B17" s="99">
        <f>SUM(B15:B16)</f>
        <v>0</v>
      </c>
      <c r="C17" s="99">
        <f t="shared" ref="C17:F17" si="3">SUM(C15:C16)</f>
        <v>0</v>
      </c>
      <c r="D17" s="99">
        <f t="shared" si="3"/>
        <v>0</v>
      </c>
      <c r="E17" s="99">
        <f t="shared" si="3"/>
        <v>0</v>
      </c>
      <c r="F17" s="99">
        <f t="shared" si="3"/>
        <v>0</v>
      </c>
    </row>
    <row r="18" spans="1:7" ht="16.5" customHeight="1" x14ac:dyDescent="0.3">
      <c r="A18" s="424" t="s">
        <v>188</v>
      </c>
      <c r="B18" s="424"/>
      <c r="C18" s="424"/>
      <c r="D18" s="424"/>
      <c r="E18" s="424"/>
      <c r="F18" s="424"/>
    </row>
    <row r="19" spans="1:7" x14ac:dyDescent="0.3">
      <c r="A19" s="218" t="s">
        <v>190</v>
      </c>
      <c r="B19" s="99">
        <f>SUM(B20:B21)</f>
        <v>0</v>
      </c>
      <c r="C19" s="99">
        <f>SUM(C20:C21)</f>
        <v>0</v>
      </c>
      <c r="D19" s="99">
        <f>SUM(D20:D21)</f>
        <v>0</v>
      </c>
      <c r="E19" s="99">
        <f>C19+D19</f>
        <v>0</v>
      </c>
      <c r="F19" s="99">
        <f t="shared" si="1"/>
        <v>0</v>
      </c>
    </row>
    <row r="20" spans="1:7" x14ac:dyDescent="0.3">
      <c r="A20" s="222" t="s">
        <v>152</v>
      </c>
      <c r="B20" s="100">
        <f>Budget!D34</f>
        <v>0</v>
      </c>
      <c r="C20" s="100">
        <f>'GL Actuals'!C31</f>
        <v>0</v>
      </c>
      <c r="D20" s="100">
        <f>SUM('Labor Forecast'!AG24:AR24)</f>
        <v>0</v>
      </c>
      <c r="E20" s="100">
        <f t="shared" ref="E20:E25" si="4">C20+D20</f>
        <v>0</v>
      </c>
      <c r="F20" s="100">
        <f t="shared" si="1"/>
        <v>0</v>
      </c>
    </row>
    <row r="21" spans="1:7" x14ac:dyDescent="0.3">
      <c r="A21" s="222" t="s">
        <v>153</v>
      </c>
      <c r="B21" s="100">
        <f>Budget!D35</f>
        <v>0</v>
      </c>
      <c r="C21" s="100">
        <f>'GL Actuals'!C32</f>
        <v>0</v>
      </c>
      <c r="D21" s="100">
        <f>SUM(' Costs Detail'!AE48:AP48)</f>
        <v>0</v>
      </c>
      <c r="E21" s="100">
        <f t="shared" si="4"/>
        <v>0</v>
      </c>
      <c r="F21" s="100">
        <f t="shared" si="1"/>
        <v>0</v>
      </c>
    </row>
    <row r="22" spans="1:7" x14ac:dyDescent="0.3">
      <c r="A22" s="391" t="s">
        <v>191</v>
      </c>
      <c r="B22" s="99">
        <f>SUM(B23:B25)</f>
        <v>0</v>
      </c>
      <c r="C22" s="99">
        <f>SUM(C23:C25)</f>
        <v>0</v>
      </c>
      <c r="D22" s="99">
        <f>SUM(D23:D25)</f>
        <v>0</v>
      </c>
      <c r="E22" s="99">
        <f>SUM(E23:E25)</f>
        <v>0</v>
      </c>
      <c r="F22" s="99">
        <f t="shared" si="1"/>
        <v>0</v>
      </c>
    </row>
    <row r="23" spans="1:7" x14ac:dyDescent="0.3">
      <c r="A23" s="228" t="s">
        <v>32</v>
      </c>
      <c r="B23" s="100">
        <f>Budget!D21</f>
        <v>0</v>
      </c>
      <c r="C23" s="100">
        <f>'GL Actuals'!C34</f>
        <v>0</v>
      </c>
      <c r="D23" s="100">
        <f>SUM(' Costs Detail'!AE26:AP26)</f>
        <v>0</v>
      </c>
      <c r="E23" s="100">
        <f t="shared" si="4"/>
        <v>0</v>
      </c>
      <c r="F23" s="100">
        <f t="shared" si="1"/>
        <v>0</v>
      </c>
    </row>
    <row r="24" spans="1:7" x14ac:dyDescent="0.3">
      <c r="A24" s="228" t="s">
        <v>33</v>
      </c>
      <c r="B24" s="100">
        <f>Budget!D22</f>
        <v>0</v>
      </c>
      <c r="C24" s="100">
        <f>'GL Actuals'!C35</f>
        <v>0</v>
      </c>
      <c r="D24" s="100">
        <f>SUM(' Costs Detail'!AE36:AP36)</f>
        <v>0</v>
      </c>
      <c r="E24" s="100">
        <f t="shared" si="4"/>
        <v>0</v>
      </c>
      <c r="F24" s="100">
        <f t="shared" si="1"/>
        <v>0</v>
      </c>
    </row>
    <row r="25" spans="1:7" x14ac:dyDescent="0.3">
      <c r="A25" s="228" t="s">
        <v>34</v>
      </c>
      <c r="B25" s="100">
        <f>Budget!D23</f>
        <v>0</v>
      </c>
      <c r="C25" s="100">
        <f>'GL Actuals'!C33+'GL Actuals'!C36</f>
        <v>0</v>
      </c>
      <c r="D25" s="100">
        <f>SUM(' Costs Detail'!AE4:AP4)+SUM(' Costs Detail'!AE42:AP42)</f>
        <v>0</v>
      </c>
      <c r="E25" s="100">
        <f t="shared" si="4"/>
        <v>0</v>
      </c>
      <c r="F25" s="100">
        <f t="shared" si="1"/>
        <v>0</v>
      </c>
    </row>
    <row r="26" spans="1:7" s="5" customFormat="1" x14ac:dyDescent="0.3">
      <c r="A26" s="218" t="s">
        <v>193</v>
      </c>
      <c r="B26" s="99">
        <f>B19+B22</f>
        <v>0</v>
      </c>
      <c r="C26" s="99">
        <f>C19+C22</f>
        <v>0</v>
      </c>
      <c r="D26" s="99">
        <f>D19+D22</f>
        <v>0</v>
      </c>
      <c r="E26" s="99">
        <f>E19+E22</f>
        <v>0</v>
      </c>
      <c r="F26" s="99">
        <f t="shared" si="1"/>
        <v>0</v>
      </c>
    </row>
    <row r="27" spans="1:7" s="5" customFormat="1" x14ac:dyDescent="0.3">
      <c r="A27" s="392" t="s">
        <v>194</v>
      </c>
      <c r="B27" s="100">
        <f>B35*Assumptions!$B$6</f>
        <v>0</v>
      </c>
      <c r="C27" s="100">
        <f>C35*Assumptions!$B$6</f>
        <v>0</v>
      </c>
      <c r="D27" s="100">
        <f>D35*Assumptions!$B$6</f>
        <v>0</v>
      </c>
      <c r="E27" s="100">
        <f>E35*Assumptions!$B$6</f>
        <v>0</v>
      </c>
      <c r="F27" s="100">
        <f>F35*Assumptions!$B$6</f>
        <v>0</v>
      </c>
    </row>
    <row r="28" spans="1:7" s="5" customFormat="1" x14ac:dyDescent="0.3">
      <c r="A28" s="218" t="s">
        <v>195</v>
      </c>
      <c r="B28" s="99">
        <f>SUM(B26:B27)</f>
        <v>0</v>
      </c>
      <c r="C28" s="99">
        <f t="shared" ref="C28:F28" si="5">SUM(C26:C27)</f>
        <v>0</v>
      </c>
      <c r="D28" s="99">
        <f t="shared" si="5"/>
        <v>0</v>
      </c>
      <c r="E28" s="99">
        <f t="shared" si="5"/>
        <v>0</v>
      </c>
      <c r="F28" s="99">
        <f t="shared" si="5"/>
        <v>0</v>
      </c>
    </row>
    <row r="29" spans="1:7" ht="7.35" customHeight="1" x14ac:dyDescent="0.3">
      <c r="A29" s="226"/>
      <c r="B29" s="27"/>
      <c r="C29" s="27"/>
      <c r="D29" s="27"/>
      <c r="E29" s="43"/>
      <c r="F29" s="39"/>
      <c r="G29" s="59"/>
    </row>
    <row r="30" spans="1:7" s="5" customFormat="1" x14ac:dyDescent="0.3">
      <c r="A30" s="216" t="s">
        <v>198</v>
      </c>
      <c r="B30" s="100">
        <f>B15-B26</f>
        <v>0</v>
      </c>
      <c r="C30" s="100">
        <f>C15-C26</f>
        <v>0</v>
      </c>
      <c r="D30" s="100">
        <f>D15-D26</f>
        <v>0</v>
      </c>
      <c r="E30" s="100">
        <f>E15-E26</f>
        <v>0</v>
      </c>
      <c r="F30" s="413"/>
    </row>
    <row r="31" spans="1:7" ht="7.35" customHeight="1" x14ac:dyDescent="0.3">
      <c r="A31" s="152"/>
      <c r="B31" s="63"/>
      <c r="C31" s="63"/>
      <c r="D31" s="63"/>
      <c r="E31" s="39"/>
      <c r="F31" s="39"/>
      <c r="G31" s="59"/>
    </row>
    <row r="32" spans="1:7" s="28" customFormat="1" x14ac:dyDescent="0.3">
      <c r="A32" s="227" t="s">
        <v>192</v>
      </c>
      <c r="B32" s="101">
        <f>SUM(B33:B35)</f>
        <v>0</v>
      </c>
      <c r="C32" s="101">
        <f t="shared" ref="C32:F32" si="6">SUM(C33:C35)</f>
        <v>0</v>
      </c>
      <c r="D32" s="101">
        <f t="shared" si="6"/>
        <v>0</v>
      </c>
      <c r="E32" s="101">
        <f t="shared" si="6"/>
        <v>0</v>
      </c>
      <c r="F32" s="101">
        <f t="shared" si="6"/>
        <v>0</v>
      </c>
    </row>
    <row r="33" spans="1:7" s="28" customFormat="1" x14ac:dyDescent="0.3">
      <c r="A33" s="228" t="s">
        <v>152</v>
      </c>
      <c r="B33" s="102">
        <f>Budget!D28</f>
        <v>0</v>
      </c>
      <c r="C33" s="102">
        <f>SUM('Labor Hours'!AA10:AL10)</f>
        <v>0</v>
      </c>
      <c r="D33" s="103">
        <f>SUM('Labor Forecast'!AG25:AR25)</f>
        <v>0</v>
      </c>
      <c r="E33" s="102">
        <f>C33+D33</f>
        <v>0</v>
      </c>
      <c r="F33" s="102">
        <f>B33-E33</f>
        <v>0</v>
      </c>
    </row>
    <row r="34" spans="1:7" s="28" customFormat="1" x14ac:dyDescent="0.3">
      <c r="A34" s="228" t="s">
        <v>153</v>
      </c>
      <c r="B34" s="102">
        <f>Budget!D29</f>
        <v>0</v>
      </c>
      <c r="C34" s="102">
        <f>SUM('Labor Hours'!AA13:AL13)</f>
        <v>0</v>
      </c>
      <c r="D34" s="103">
        <f>SUM('Labor Forecast'!AG27:AR27)</f>
        <v>0</v>
      </c>
      <c r="E34" s="102">
        <f t="shared" ref="E34:E35" si="7">C34+D34</f>
        <v>0</v>
      </c>
      <c r="F34" s="102">
        <f t="shared" ref="F34:F35" si="8">B34-E34</f>
        <v>0</v>
      </c>
    </row>
    <row r="35" spans="1:7" s="28" customFormat="1" x14ac:dyDescent="0.3">
      <c r="A35" s="228" t="s">
        <v>162</v>
      </c>
      <c r="B35" s="102">
        <f>Budget!D30</f>
        <v>0</v>
      </c>
      <c r="C35" s="102">
        <f>SUM('Labor Hours'!AA6:AL6)</f>
        <v>0</v>
      </c>
      <c r="D35" s="103">
        <f>SUM('Labor Forecast'!AG30:AR30)</f>
        <v>0</v>
      </c>
      <c r="E35" s="102">
        <f t="shared" si="7"/>
        <v>0</v>
      </c>
      <c r="F35" s="102">
        <f t="shared" si="8"/>
        <v>0</v>
      </c>
    </row>
    <row r="36" spans="1:7" ht="7.35" customHeight="1" x14ac:dyDescent="0.3">
      <c r="A36" s="152"/>
      <c r="B36" s="63"/>
      <c r="C36" s="63"/>
      <c r="D36" s="63"/>
      <c r="E36" s="39"/>
      <c r="F36" s="39"/>
      <c r="G36" s="59"/>
    </row>
    <row r="37" spans="1:7" x14ac:dyDescent="0.3">
      <c r="A37" s="229" t="s">
        <v>52</v>
      </c>
      <c r="B37" s="98">
        <f>Budget!D24</f>
        <v>0</v>
      </c>
      <c r="C37" s="390">
        <v>0</v>
      </c>
      <c r="D37" s="39"/>
      <c r="E37" s="39"/>
      <c r="F37" s="65"/>
    </row>
  </sheetData>
  <mergeCells count="10">
    <mergeCell ref="A18:F18"/>
    <mergeCell ref="A12:F12"/>
    <mergeCell ref="B8:D8"/>
    <mergeCell ref="A10:F10"/>
    <mergeCell ref="B2:D2"/>
    <mergeCell ref="B3:D3"/>
    <mergeCell ref="B4:D4"/>
    <mergeCell ref="B5:D5"/>
    <mergeCell ref="B6:D6"/>
    <mergeCell ref="B7:D7"/>
  </mergeCells>
  <pageMargins left="0.7" right="0.7" top="0.75" bottom="0.75" header="0.3" footer="0.3"/>
  <pageSetup orientation="landscape" r:id="rId1"/>
  <headerFooter>
    <oddHeader>&amp;L&amp;G</oddHeader>
    <oddFooter xml:space="preserve">&amp;C
</oddFooter>
  </headerFooter>
  <ignoredErrors>
    <ignoredError sqref="E22"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55"/>
  <sheetViews>
    <sheetView zoomScaleNormal="100" workbookViewId="0">
      <selection activeCell="A24" sqref="A24:D24"/>
    </sheetView>
  </sheetViews>
  <sheetFormatPr defaultColWidth="9.109375" defaultRowHeight="10.199999999999999" x14ac:dyDescent="0.3"/>
  <cols>
    <col min="1" max="1" width="11.33203125" style="161" bestFit="1" customWidth="1"/>
    <col min="2" max="2" width="31.88671875" style="161" customWidth="1"/>
    <col min="3" max="3" width="14.6640625" style="161" customWidth="1"/>
    <col min="4" max="4" width="44.33203125" style="161" customWidth="1"/>
    <col min="5" max="5" width="8.109375" style="161" customWidth="1"/>
    <col min="6" max="6" width="11.44140625" style="161" customWidth="1"/>
    <col min="7" max="7" width="11" style="161" customWidth="1"/>
    <col min="8" max="11" width="11.44140625" style="161" customWidth="1"/>
    <col min="12" max="12" width="11" style="161" customWidth="1"/>
    <col min="13" max="15" width="11.44140625" style="161" customWidth="1"/>
    <col min="16" max="16" width="11.44140625" style="161" bestFit="1" customWidth="1"/>
    <col min="17" max="17" width="11.44140625" style="161" customWidth="1"/>
    <col min="18" max="16384" width="9.109375" style="161"/>
  </cols>
  <sheetData>
    <row r="1" spans="1:17" ht="23.25" customHeight="1" x14ac:dyDescent="0.3">
      <c r="A1" s="450" t="e">
        <f>CONCATENATE(Assumptions!B2," Project Chartfield: Org ",Assumptions!#REF!," - Fund ",Assumptions!#REF!," Project ",Assumptions!#REF!)</f>
        <v>#REF!</v>
      </c>
      <c r="B1" s="451"/>
      <c r="C1" s="233" t="str">
        <f>CONCATENATE(Assumptions!B2," YTD")</f>
        <v>FY15 YTD</v>
      </c>
      <c r="D1" s="234" t="s">
        <v>99</v>
      </c>
      <c r="E1" s="208"/>
      <c r="F1" s="244">
        <f>Assumptions!C2</f>
        <v>41821</v>
      </c>
      <c r="G1" s="245">
        <f>EDATE(F1,1)</f>
        <v>41852</v>
      </c>
      <c r="H1" s="245">
        <f t="shared" ref="H1:Q1" si="0">EDATE(G1,1)</f>
        <v>41883</v>
      </c>
      <c r="I1" s="245">
        <f t="shared" si="0"/>
        <v>41913</v>
      </c>
      <c r="J1" s="245">
        <f t="shared" si="0"/>
        <v>41944</v>
      </c>
      <c r="K1" s="245">
        <f t="shared" si="0"/>
        <v>41974</v>
      </c>
      <c r="L1" s="245">
        <f t="shared" si="0"/>
        <v>42005</v>
      </c>
      <c r="M1" s="245">
        <f t="shared" si="0"/>
        <v>42036</v>
      </c>
      <c r="N1" s="245">
        <f t="shared" si="0"/>
        <v>42064</v>
      </c>
      <c r="O1" s="245">
        <f t="shared" si="0"/>
        <v>42095</v>
      </c>
      <c r="P1" s="245">
        <f t="shared" si="0"/>
        <v>42125</v>
      </c>
      <c r="Q1" s="245">
        <f t="shared" si="0"/>
        <v>42156</v>
      </c>
    </row>
    <row r="2" spans="1:17" ht="10.8" thickBot="1" x14ac:dyDescent="0.35">
      <c r="A2" s="257"/>
      <c r="B2" s="258" t="s">
        <v>49</v>
      </c>
      <c r="C2" s="259"/>
      <c r="D2" s="260"/>
      <c r="E2" s="208"/>
      <c r="F2" s="246"/>
      <c r="G2" s="247"/>
      <c r="H2" s="247"/>
      <c r="I2" s="247"/>
      <c r="J2" s="247"/>
      <c r="K2" s="247"/>
      <c r="L2" s="247"/>
      <c r="M2" s="247"/>
      <c r="N2" s="247"/>
      <c r="O2" s="247"/>
      <c r="P2" s="247"/>
      <c r="Q2" s="248"/>
    </row>
    <row r="3" spans="1:17" ht="14.4" x14ac:dyDescent="0.3">
      <c r="A3" s="242" t="s">
        <v>50</v>
      </c>
      <c r="B3" s="264" t="s">
        <v>77</v>
      </c>
      <c r="C3" s="155">
        <f>SUM(F3:Q3)</f>
        <v>0</v>
      </c>
      <c r="D3" s="156" t="s">
        <v>85</v>
      </c>
      <c r="E3" s="209"/>
      <c r="F3" s="268"/>
      <c r="G3" s="269"/>
      <c r="H3" s="269"/>
      <c r="I3" s="269"/>
      <c r="J3" s="269"/>
      <c r="K3" s="269"/>
      <c r="L3" s="269"/>
      <c r="M3" s="269"/>
      <c r="N3" s="269"/>
      <c r="O3" s="269"/>
      <c r="P3" s="269"/>
      <c r="Q3" s="270"/>
    </row>
    <row r="4" spans="1:17" ht="14.4" x14ac:dyDescent="0.3">
      <c r="A4" s="157"/>
      <c r="B4" s="265" t="s">
        <v>81</v>
      </c>
      <c r="C4" s="158">
        <f>SUM(F4:Q4)</f>
        <v>0</v>
      </c>
      <c r="D4" s="159" t="s">
        <v>86</v>
      </c>
      <c r="E4" s="209"/>
      <c r="F4" s="249"/>
      <c r="G4" s="250"/>
      <c r="H4" s="250"/>
      <c r="I4" s="250"/>
      <c r="J4" s="250"/>
      <c r="K4" s="250"/>
      <c r="L4" s="250"/>
      <c r="M4" s="250"/>
      <c r="N4" s="250"/>
      <c r="O4" s="250"/>
      <c r="P4" s="250"/>
      <c r="Q4" s="251"/>
    </row>
    <row r="5" spans="1:17" ht="14.4" x14ac:dyDescent="0.3">
      <c r="A5" s="157"/>
      <c r="B5" s="265" t="s">
        <v>78</v>
      </c>
      <c r="C5" s="158">
        <f t="shared" ref="C5:C12" si="1">SUM(F5:Q5)</f>
        <v>0</v>
      </c>
      <c r="D5" s="159" t="s">
        <v>96</v>
      </c>
      <c r="E5" s="209"/>
      <c r="F5" s="249"/>
      <c r="G5" s="250"/>
      <c r="H5" s="250"/>
      <c r="I5" s="250"/>
      <c r="J5" s="250"/>
      <c r="K5" s="250"/>
      <c r="L5" s="250"/>
      <c r="M5" s="250"/>
      <c r="N5" s="250"/>
      <c r="O5" s="250"/>
      <c r="P5" s="250"/>
      <c r="Q5" s="251"/>
    </row>
    <row r="6" spans="1:17" ht="14.4" x14ac:dyDescent="0.3">
      <c r="A6" s="157"/>
      <c r="B6" s="265" t="s">
        <v>82</v>
      </c>
      <c r="C6" s="158">
        <f t="shared" si="1"/>
        <v>0</v>
      </c>
      <c r="D6" s="159" t="s">
        <v>87</v>
      </c>
      <c r="E6" s="209"/>
      <c r="F6" s="249"/>
      <c r="G6" s="250"/>
      <c r="H6" s="250"/>
      <c r="I6" s="250"/>
      <c r="J6" s="250"/>
      <c r="K6" s="250"/>
      <c r="L6" s="250"/>
      <c r="M6" s="250"/>
      <c r="N6" s="250"/>
      <c r="O6" s="250"/>
      <c r="P6" s="250"/>
      <c r="Q6" s="251"/>
    </row>
    <row r="7" spans="1:17" ht="14.4" x14ac:dyDescent="0.3">
      <c r="A7" s="157"/>
      <c r="B7" s="265" t="s">
        <v>83</v>
      </c>
      <c r="C7" s="158">
        <f t="shared" si="1"/>
        <v>0</v>
      </c>
      <c r="D7" s="159" t="s">
        <v>88</v>
      </c>
      <c r="E7" s="209"/>
      <c r="F7" s="249"/>
      <c r="G7" s="250"/>
      <c r="H7" s="250"/>
      <c r="I7" s="250"/>
      <c r="J7" s="250"/>
      <c r="K7" s="250"/>
      <c r="L7" s="250"/>
      <c r="M7" s="250"/>
      <c r="N7" s="250"/>
      <c r="O7" s="250"/>
      <c r="P7" s="250"/>
      <c r="Q7" s="251"/>
    </row>
    <row r="8" spans="1:17" ht="14.4" x14ac:dyDescent="0.3">
      <c r="A8" s="255"/>
      <c r="B8" s="266" t="s">
        <v>84</v>
      </c>
      <c r="C8" s="158">
        <f t="shared" si="1"/>
        <v>0</v>
      </c>
      <c r="D8" s="256" t="s">
        <v>97</v>
      </c>
      <c r="E8" s="209"/>
      <c r="F8" s="249"/>
      <c r="G8" s="250"/>
      <c r="H8" s="250"/>
      <c r="I8" s="250"/>
      <c r="J8" s="250"/>
      <c r="K8" s="250"/>
      <c r="L8" s="250"/>
      <c r="M8" s="250"/>
      <c r="N8" s="250"/>
      <c r="O8" s="250"/>
      <c r="P8" s="250"/>
      <c r="Q8" s="251"/>
    </row>
    <row r="9" spans="1:17" ht="15" thickBot="1" x14ac:dyDescent="0.35">
      <c r="A9" s="398"/>
      <c r="B9" s="395" t="s">
        <v>105</v>
      </c>
      <c r="C9" s="396">
        <f t="shared" si="1"/>
        <v>0</v>
      </c>
      <c r="D9" s="397"/>
      <c r="E9" s="209"/>
      <c r="F9" s="252"/>
      <c r="G9" s="253"/>
      <c r="H9" s="253"/>
      <c r="I9" s="253"/>
      <c r="J9" s="253"/>
      <c r="K9" s="253"/>
      <c r="L9" s="253"/>
      <c r="M9" s="253"/>
      <c r="N9" s="253"/>
      <c r="O9" s="253"/>
      <c r="P9" s="253"/>
      <c r="Q9" s="254"/>
    </row>
    <row r="10" spans="1:17" ht="10.8" thickBot="1" x14ac:dyDescent="0.35">
      <c r="A10" s="241"/>
      <c r="B10" s="267" t="s">
        <v>196</v>
      </c>
      <c r="C10" s="154">
        <f>SUBTOTAL(9,C3:C9)</f>
        <v>0</v>
      </c>
      <c r="D10" s="239"/>
      <c r="E10" s="208"/>
      <c r="F10" s="271">
        <f t="shared" ref="F10:Q10" si="2">SUBTOTAL(9,F3:F9)</f>
        <v>0</v>
      </c>
      <c r="G10" s="272">
        <f t="shared" si="2"/>
        <v>0</v>
      </c>
      <c r="H10" s="272">
        <f t="shared" si="2"/>
        <v>0</v>
      </c>
      <c r="I10" s="272">
        <f t="shared" si="2"/>
        <v>0</v>
      </c>
      <c r="J10" s="272">
        <f t="shared" si="2"/>
        <v>0</v>
      </c>
      <c r="K10" s="272">
        <f t="shared" si="2"/>
        <v>0</v>
      </c>
      <c r="L10" s="272">
        <f t="shared" si="2"/>
        <v>0</v>
      </c>
      <c r="M10" s="272">
        <f t="shared" si="2"/>
        <v>0</v>
      </c>
      <c r="N10" s="272">
        <f t="shared" si="2"/>
        <v>0</v>
      </c>
      <c r="O10" s="272">
        <f t="shared" si="2"/>
        <v>0</v>
      </c>
      <c r="P10" s="272">
        <f t="shared" si="2"/>
        <v>0</v>
      </c>
      <c r="Q10" s="273">
        <f t="shared" si="2"/>
        <v>0</v>
      </c>
    </row>
    <row r="11" spans="1:17" x14ac:dyDescent="0.3">
      <c r="A11" s="261" t="s">
        <v>179</v>
      </c>
      <c r="B11" s="262" t="s">
        <v>180</v>
      </c>
      <c r="C11" s="158">
        <f t="shared" si="1"/>
        <v>0</v>
      </c>
      <c r="D11" s="263"/>
      <c r="E11" s="208"/>
      <c r="F11" s="268"/>
      <c r="G11" s="269"/>
      <c r="H11" s="269"/>
      <c r="I11" s="269"/>
      <c r="J11" s="269"/>
      <c r="K11" s="269"/>
      <c r="L11" s="269"/>
      <c r="M11" s="269"/>
      <c r="N11" s="269"/>
      <c r="O11" s="269"/>
      <c r="P11" s="269"/>
      <c r="Q11" s="270"/>
    </row>
    <row r="12" spans="1:17" ht="10.8" thickBot="1" x14ac:dyDescent="0.35">
      <c r="A12" s="400"/>
      <c r="B12" s="401" t="s">
        <v>186</v>
      </c>
      <c r="C12" s="396">
        <f t="shared" si="1"/>
        <v>0</v>
      </c>
      <c r="D12" s="240"/>
      <c r="E12" s="208"/>
      <c r="F12" s="249"/>
      <c r="G12" s="250"/>
      <c r="H12" s="250"/>
      <c r="I12" s="250"/>
      <c r="J12" s="250"/>
      <c r="K12" s="250"/>
      <c r="L12" s="250"/>
      <c r="M12" s="250"/>
      <c r="N12" s="250"/>
      <c r="O12" s="250"/>
      <c r="P12" s="250"/>
      <c r="Q12" s="251"/>
    </row>
    <row r="13" spans="1:17" ht="10.8" thickBot="1" x14ac:dyDescent="0.35">
      <c r="A13" s="243"/>
      <c r="B13" s="267" t="s">
        <v>196</v>
      </c>
      <c r="C13" s="399">
        <f>SUM(C11:C12)</f>
        <v>0</v>
      </c>
      <c r="D13" s="240"/>
      <c r="E13" s="208"/>
      <c r="F13" s="274">
        <f>SUM(F11:F12)</f>
        <v>0</v>
      </c>
      <c r="G13" s="274">
        <f t="shared" ref="G13" si="3">SUM(G11:G12)</f>
        <v>0</v>
      </c>
      <c r="H13" s="274">
        <f t="shared" ref="H13" si="4">SUM(H11:H12)</f>
        <v>0</v>
      </c>
      <c r="I13" s="274">
        <f t="shared" ref="I13" si="5">SUM(I11:I12)</f>
        <v>0</v>
      </c>
      <c r="J13" s="274">
        <f t="shared" ref="J13" si="6">SUM(J11:J12)</f>
        <v>0</v>
      </c>
      <c r="K13" s="274">
        <f t="shared" ref="K13" si="7">SUM(K11:K12)</f>
        <v>0</v>
      </c>
      <c r="L13" s="274">
        <f t="shared" ref="L13" si="8">SUM(L11:L12)</f>
        <v>0</v>
      </c>
      <c r="M13" s="274">
        <f t="shared" ref="M13" si="9">SUM(M11:M12)</f>
        <v>0</v>
      </c>
      <c r="N13" s="274">
        <f t="shared" ref="N13" si="10">SUM(N11:N12)</f>
        <v>0</v>
      </c>
      <c r="O13" s="274">
        <f t="shared" ref="O13" si="11">SUM(O11:O12)</f>
        <v>0</v>
      </c>
      <c r="P13" s="274">
        <f t="shared" ref="P13" si="12">SUM(P11:P12)</f>
        <v>0</v>
      </c>
      <c r="Q13" s="274">
        <f t="shared" ref="Q13" si="13">SUM(Q11:Q12)</f>
        <v>0</v>
      </c>
    </row>
    <row r="14" spans="1:17" ht="10.8" thickBot="1" x14ac:dyDescent="0.35">
      <c r="E14" s="208"/>
    </row>
    <row r="15" spans="1:17" ht="23.25" customHeight="1" x14ac:dyDescent="0.3">
      <c r="A15" s="450" t="e">
        <f>CONCATENATE(Assumptions!B3," Project Chartfield: Org ",Assumptions!#REF!," - Fund ",Assumptions!#REF!," Project ",Assumptions!#REF!)</f>
        <v>#REF!</v>
      </c>
      <c r="B15" s="451"/>
      <c r="C15" s="233" t="str">
        <f>CONCATENATE(Assumptions!B3," YTD")</f>
        <v>FY16 YTD</v>
      </c>
      <c r="D15" s="234" t="s">
        <v>99</v>
      </c>
      <c r="E15" s="208"/>
      <c r="F15" s="244">
        <f>Assumptions!C3</f>
        <v>42186</v>
      </c>
      <c r="G15" s="245">
        <f>EDATE(F15,1)</f>
        <v>42217</v>
      </c>
      <c r="H15" s="245">
        <f t="shared" ref="H15:Q15" si="14">EDATE(G15,1)</f>
        <v>42248</v>
      </c>
      <c r="I15" s="245">
        <f t="shared" si="14"/>
        <v>42278</v>
      </c>
      <c r="J15" s="245">
        <f t="shared" si="14"/>
        <v>42309</v>
      </c>
      <c r="K15" s="245">
        <f t="shared" si="14"/>
        <v>42339</v>
      </c>
      <c r="L15" s="245">
        <f t="shared" si="14"/>
        <v>42370</v>
      </c>
      <c r="M15" s="245">
        <f t="shared" si="14"/>
        <v>42401</v>
      </c>
      <c r="N15" s="245">
        <f t="shared" si="14"/>
        <v>42430</v>
      </c>
      <c r="O15" s="245">
        <f t="shared" si="14"/>
        <v>42461</v>
      </c>
      <c r="P15" s="245">
        <f t="shared" si="14"/>
        <v>42491</v>
      </c>
      <c r="Q15" s="245">
        <f t="shared" si="14"/>
        <v>42522</v>
      </c>
    </row>
    <row r="16" spans="1:17" ht="10.8" thickBot="1" x14ac:dyDescent="0.35">
      <c r="A16" s="257" t="s">
        <v>48</v>
      </c>
      <c r="B16" s="258" t="s">
        <v>49</v>
      </c>
      <c r="C16" s="259"/>
      <c r="D16" s="260"/>
      <c r="E16" s="208"/>
      <c r="F16" s="246"/>
      <c r="G16" s="247"/>
      <c r="H16" s="247"/>
      <c r="I16" s="247"/>
      <c r="J16" s="247"/>
      <c r="K16" s="247"/>
      <c r="L16" s="247"/>
      <c r="M16" s="247"/>
      <c r="N16" s="247"/>
      <c r="O16" s="247"/>
      <c r="P16" s="247"/>
      <c r="Q16" s="248"/>
    </row>
    <row r="17" spans="1:17" ht="14.4" x14ac:dyDescent="0.3">
      <c r="A17" s="242" t="s">
        <v>50</v>
      </c>
      <c r="B17" s="264" t="s">
        <v>77</v>
      </c>
      <c r="C17" s="155">
        <f t="shared" ref="C17:C23" si="15">SUM(F17:Q17)</f>
        <v>0</v>
      </c>
      <c r="D17" s="156" t="s">
        <v>85</v>
      </c>
      <c r="E17" s="209"/>
      <c r="F17" s="268"/>
      <c r="G17" s="269"/>
      <c r="H17" s="269"/>
      <c r="I17" s="269"/>
      <c r="J17" s="269"/>
      <c r="K17" s="269"/>
      <c r="L17" s="269"/>
      <c r="M17" s="269"/>
      <c r="N17" s="269"/>
      <c r="O17" s="269"/>
      <c r="P17" s="269"/>
      <c r="Q17" s="270"/>
    </row>
    <row r="18" spans="1:17" ht="14.4" x14ac:dyDescent="0.3">
      <c r="A18" s="157"/>
      <c r="B18" s="265" t="s">
        <v>81</v>
      </c>
      <c r="C18" s="158">
        <f t="shared" si="15"/>
        <v>0</v>
      </c>
      <c r="D18" s="159" t="s">
        <v>86</v>
      </c>
      <c r="E18" s="209"/>
      <c r="F18" s="249"/>
      <c r="G18" s="250"/>
      <c r="H18" s="250"/>
      <c r="I18" s="250"/>
      <c r="J18" s="250"/>
      <c r="K18" s="250"/>
      <c r="L18" s="250"/>
      <c r="M18" s="250"/>
      <c r="N18" s="250"/>
      <c r="O18" s="250"/>
      <c r="P18" s="250"/>
      <c r="Q18" s="251"/>
    </row>
    <row r="19" spans="1:17" ht="14.4" x14ac:dyDescent="0.3">
      <c r="A19" s="157"/>
      <c r="B19" s="265" t="s">
        <v>78</v>
      </c>
      <c r="C19" s="158">
        <f t="shared" si="15"/>
        <v>0</v>
      </c>
      <c r="D19" s="159" t="s">
        <v>96</v>
      </c>
      <c r="E19" s="209"/>
      <c r="F19" s="249"/>
      <c r="G19" s="250"/>
      <c r="H19" s="250"/>
      <c r="I19" s="250"/>
      <c r="J19" s="250"/>
      <c r="K19" s="250"/>
      <c r="L19" s="250"/>
      <c r="M19" s="250"/>
      <c r="N19" s="250"/>
      <c r="O19" s="250"/>
      <c r="P19" s="250"/>
      <c r="Q19" s="251"/>
    </row>
    <row r="20" spans="1:17" ht="14.4" x14ac:dyDescent="0.3">
      <c r="A20" s="157"/>
      <c r="B20" s="265" t="s">
        <v>82</v>
      </c>
      <c r="C20" s="158">
        <f t="shared" si="15"/>
        <v>0</v>
      </c>
      <c r="D20" s="159" t="s">
        <v>87</v>
      </c>
      <c r="E20" s="209"/>
      <c r="F20" s="249"/>
      <c r="G20" s="250"/>
      <c r="H20" s="250"/>
      <c r="I20" s="250"/>
      <c r="J20" s="250"/>
      <c r="K20" s="250"/>
      <c r="L20" s="250"/>
      <c r="M20" s="250"/>
      <c r="N20" s="250"/>
      <c r="O20" s="250"/>
      <c r="P20" s="250"/>
      <c r="Q20" s="251"/>
    </row>
    <row r="21" spans="1:17" ht="14.4" x14ac:dyDescent="0.3">
      <c r="A21" s="157"/>
      <c r="B21" s="265" t="s">
        <v>83</v>
      </c>
      <c r="C21" s="158">
        <f t="shared" si="15"/>
        <v>0</v>
      </c>
      <c r="D21" s="159" t="s">
        <v>88</v>
      </c>
      <c r="E21" s="209"/>
      <c r="F21" s="249"/>
      <c r="G21" s="250"/>
      <c r="H21" s="250"/>
      <c r="I21" s="250"/>
      <c r="J21" s="250"/>
      <c r="K21" s="250"/>
      <c r="L21" s="250"/>
      <c r="M21" s="250"/>
      <c r="N21" s="250"/>
      <c r="O21" s="250"/>
      <c r="P21" s="250"/>
      <c r="Q21" s="251"/>
    </row>
    <row r="22" spans="1:17" ht="14.4" x14ac:dyDescent="0.3">
      <c r="A22" s="255"/>
      <c r="B22" s="266" t="s">
        <v>84</v>
      </c>
      <c r="C22" s="158">
        <f t="shared" si="15"/>
        <v>0</v>
      </c>
      <c r="D22" s="256" t="s">
        <v>97</v>
      </c>
      <c r="E22" s="209"/>
      <c r="F22" s="249"/>
      <c r="G22" s="250"/>
      <c r="H22" s="250"/>
      <c r="I22" s="250"/>
      <c r="J22" s="250"/>
      <c r="K22" s="250"/>
      <c r="L22" s="250"/>
      <c r="M22" s="250"/>
      <c r="N22" s="250"/>
      <c r="O22" s="250"/>
      <c r="P22" s="250"/>
      <c r="Q22" s="251"/>
    </row>
    <row r="23" spans="1:17" ht="15" thickBot="1" x14ac:dyDescent="0.35">
      <c r="A23" s="398"/>
      <c r="B23" s="395" t="s">
        <v>105</v>
      </c>
      <c r="C23" s="396">
        <f t="shared" si="15"/>
        <v>0</v>
      </c>
      <c r="D23" s="397"/>
      <c r="E23" s="209"/>
      <c r="F23" s="252"/>
      <c r="G23" s="253"/>
      <c r="H23" s="253"/>
      <c r="I23" s="253"/>
      <c r="J23" s="253"/>
      <c r="K23" s="253"/>
      <c r="L23" s="253"/>
      <c r="M23" s="253"/>
      <c r="N23" s="253"/>
      <c r="O23" s="253"/>
      <c r="P23" s="253"/>
      <c r="Q23" s="254"/>
    </row>
    <row r="24" spans="1:17" ht="10.8" thickBot="1" x14ac:dyDescent="0.35">
      <c r="A24" s="241"/>
      <c r="B24" s="267" t="s">
        <v>196</v>
      </c>
      <c r="C24" s="154">
        <f>SUBTOTAL(9,C17:C23)</f>
        <v>0</v>
      </c>
      <c r="D24" s="239"/>
      <c r="E24" s="208"/>
      <c r="F24" s="271">
        <f t="shared" ref="F24:Q24" si="16">SUBTOTAL(9,F17:F23)</f>
        <v>0</v>
      </c>
      <c r="G24" s="272">
        <f t="shared" si="16"/>
        <v>0</v>
      </c>
      <c r="H24" s="272">
        <f t="shared" si="16"/>
        <v>0</v>
      </c>
      <c r="I24" s="272">
        <f t="shared" si="16"/>
        <v>0</v>
      </c>
      <c r="J24" s="272">
        <f t="shared" si="16"/>
        <v>0</v>
      </c>
      <c r="K24" s="272">
        <f t="shared" si="16"/>
        <v>0</v>
      </c>
      <c r="L24" s="272">
        <f t="shared" si="16"/>
        <v>0</v>
      </c>
      <c r="M24" s="272">
        <f t="shared" si="16"/>
        <v>0</v>
      </c>
      <c r="N24" s="272">
        <f t="shared" si="16"/>
        <v>0</v>
      </c>
      <c r="O24" s="272">
        <f t="shared" si="16"/>
        <v>0</v>
      </c>
      <c r="P24" s="272">
        <f t="shared" si="16"/>
        <v>0</v>
      </c>
      <c r="Q24" s="273">
        <f t="shared" si="16"/>
        <v>0</v>
      </c>
    </row>
    <row r="25" spans="1:17" x14ac:dyDescent="0.3">
      <c r="A25" s="261" t="s">
        <v>179</v>
      </c>
      <c r="B25" s="262" t="s">
        <v>180</v>
      </c>
      <c r="C25" s="158">
        <f t="shared" ref="C25:C26" si="17">SUM(F25:Q25)</f>
        <v>0</v>
      </c>
      <c r="D25" s="263"/>
      <c r="E25" s="208"/>
      <c r="F25" s="268"/>
      <c r="G25" s="269"/>
      <c r="H25" s="269"/>
      <c r="I25" s="269"/>
      <c r="J25" s="269"/>
      <c r="K25" s="269"/>
      <c r="L25" s="269"/>
      <c r="M25" s="269"/>
      <c r="N25" s="269"/>
      <c r="O25" s="269"/>
      <c r="P25" s="269"/>
      <c r="Q25" s="270"/>
    </row>
    <row r="26" spans="1:17" ht="10.8" thickBot="1" x14ac:dyDescent="0.35">
      <c r="A26" s="400"/>
      <c r="B26" s="401" t="s">
        <v>186</v>
      </c>
      <c r="C26" s="396">
        <f t="shared" si="17"/>
        <v>0</v>
      </c>
      <c r="D26" s="240"/>
      <c r="E26" s="208"/>
      <c r="F26" s="249"/>
      <c r="G26" s="250"/>
      <c r="H26" s="250"/>
      <c r="I26" s="250"/>
      <c r="J26" s="250"/>
      <c r="K26" s="250"/>
      <c r="L26" s="250"/>
      <c r="M26" s="250"/>
      <c r="N26" s="250"/>
      <c r="O26" s="250"/>
      <c r="P26" s="250"/>
      <c r="Q26" s="251"/>
    </row>
    <row r="27" spans="1:17" ht="10.8" thickBot="1" x14ac:dyDescent="0.35">
      <c r="A27" s="243"/>
      <c r="B27" s="267" t="s">
        <v>196</v>
      </c>
      <c r="C27" s="399">
        <f>SUM(C25:C26)</f>
        <v>0</v>
      </c>
      <c r="D27" s="240"/>
      <c r="E27" s="208"/>
      <c r="F27" s="274">
        <f>SUM(F25:F26)</f>
        <v>0</v>
      </c>
      <c r="G27" s="274">
        <f t="shared" ref="G27" si="18">SUM(G25:G26)</f>
        <v>0</v>
      </c>
      <c r="H27" s="274">
        <f t="shared" ref="H27" si="19">SUM(H25:H26)</f>
        <v>0</v>
      </c>
      <c r="I27" s="274">
        <f t="shared" ref="I27" si="20">SUM(I25:I26)</f>
        <v>0</v>
      </c>
      <c r="J27" s="274">
        <f t="shared" ref="J27" si="21">SUM(J25:J26)</f>
        <v>0</v>
      </c>
      <c r="K27" s="274">
        <f t="shared" ref="K27" si="22">SUM(K25:K26)</f>
        <v>0</v>
      </c>
      <c r="L27" s="274">
        <f t="shared" ref="L27" si="23">SUM(L25:L26)</f>
        <v>0</v>
      </c>
      <c r="M27" s="274">
        <f t="shared" ref="M27" si="24">SUM(M25:M26)</f>
        <v>0</v>
      </c>
      <c r="N27" s="274">
        <f t="shared" ref="N27" si="25">SUM(N25:N26)</f>
        <v>0</v>
      </c>
      <c r="O27" s="274">
        <f t="shared" ref="O27" si="26">SUM(O25:O26)</f>
        <v>0</v>
      </c>
      <c r="P27" s="274">
        <f t="shared" ref="P27" si="27">SUM(P25:P26)</f>
        <v>0</v>
      </c>
      <c r="Q27" s="274">
        <f t="shared" ref="Q27" si="28">SUM(Q25:Q26)</f>
        <v>0</v>
      </c>
    </row>
    <row r="28" spans="1:17" ht="10.8" thickBot="1" x14ac:dyDescent="0.35">
      <c r="E28" s="208"/>
    </row>
    <row r="29" spans="1:17" ht="23.25" customHeight="1" x14ac:dyDescent="0.3">
      <c r="A29" s="450" t="e">
        <f>CONCATENATE(Assumptions!B4," Project Chartfield: Org ",Assumptions!#REF!," - Fund ",Assumptions!#REF!," Project ",Assumptions!#REF!)</f>
        <v>#REF!</v>
      </c>
      <c r="B29" s="451"/>
      <c r="C29" s="233" t="str">
        <f>CONCATENATE(Assumptions!B4," YTD")</f>
        <v>FY17 YTD</v>
      </c>
      <c r="D29" s="234" t="s">
        <v>99</v>
      </c>
      <c r="E29" s="208"/>
      <c r="F29" s="244">
        <f>Assumptions!C4</f>
        <v>42552</v>
      </c>
      <c r="G29" s="245">
        <f>EDATE(F29,1)</f>
        <v>42583</v>
      </c>
      <c r="H29" s="245">
        <f t="shared" ref="H29:Q29" si="29">EDATE(G29,1)</f>
        <v>42614</v>
      </c>
      <c r="I29" s="245">
        <f t="shared" si="29"/>
        <v>42644</v>
      </c>
      <c r="J29" s="245">
        <f t="shared" si="29"/>
        <v>42675</v>
      </c>
      <c r="K29" s="245">
        <f t="shared" si="29"/>
        <v>42705</v>
      </c>
      <c r="L29" s="245">
        <f t="shared" si="29"/>
        <v>42736</v>
      </c>
      <c r="M29" s="245">
        <f t="shared" si="29"/>
        <v>42767</v>
      </c>
      <c r="N29" s="245">
        <f t="shared" si="29"/>
        <v>42795</v>
      </c>
      <c r="O29" s="245">
        <f t="shared" si="29"/>
        <v>42826</v>
      </c>
      <c r="P29" s="245">
        <f t="shared" si="29"/>
        <v>42856</v>
      </c>
      <c r="Q29" s="245">
        <f t="shared" si="29"/>
        <v>42887</v>
      </c>
    </row>
    <row r="30" spans="1:17" ht="10.8" thickBot="1" x14ac:dyDescent="0.35">
      <c r="A30" s="257" t="s">
        <v>48</v>
      </c>
      <c r="B30" s="258" t="s">
        <v>49</v>
      </c>
      <c r="C30" s="259"/>
      <c r="D30" s="260"/>
      <c r="E30" s="208"/>
      <c r="F30" s="246"/>
      <c r="G30" s="247"/>
      <c r="H30" s="247"/>
      <c r="I30" s="247"/>
      <c r="J30" s="247"/>
      <c r="K30" s="247"/>
      <c r="L30" s="247"/>
      <c r="M30" s="247"/>
      <c r="N30" s="247"/>
      <c r="O30" s="247"/>
      <c r="P30" s="247"/>
      <c r="Q30" s="248"/>
    </row>
    <row r="31" spans="1:17" ht="14.4" x14ac:dyDescent="0.3">
      <c r="A31" s="242" t="s">
        <v>50</v>
      </c>
      <c r="B31" s="264" t="s">
        <v>77</v>
      </c>
      <c r="C31" s="155">
        <f>F31+G31+H31+I31+J31+K31+L31+M31+N31+O31+P31+Q31</f>
        <v>0</v>
      </c>
      <c r="D31" s="156" t="s">
        <v>85</v>
      </c>
      <c r="E31" s="209"/>
      <c r="F31" s="268"/>
      <c r="G31" s="269"/>
      <c r="H31" s="269"/>
      <c r="I31" s="269"/>
      <c r="J31" s="269"/>
      <c r="K31" s="269"/>
      <c r="L31" s="269"/>
      <c r="M31" s="269"/>
      <c r="N31" s="269"/>
      <c r="O31" s="269"/>
      <c r="P31" s="269"/>
      <c r="Q31" s="270"/>
    </row>
    <row r="32" spans="1:17" ht="14.4" x14ac:dyDescent="0.3">
      <c r="A32" s="157"/>
      <c r="B32" s="265" t="s">
        <v>81</v>
      </c>
      <c r="C32" s="158">
        <f t="shared" ref="C32:C37" si="30">F32+G32+H32+I32+J32+K32+L32+M32+N32+O32+P32+Q32</f>
        <v>0</v>
      </c>
      <c r="D32" s="159" t="s">
        <v>86</v>
      </c>
      <c r="E32" s="209"/>
      <c r="F32" s="249"/>
      <c r="G32" s="250"/>
      <c r="H32" s="250"/>
      <c r="I32" s="250"/>
      <c r="J32" s="250"/>
      <c r="K32" s="250"/>
      <c r="L32" s="250"/>
      <c r="M32" s="250"/>
      <c r="N32" s="250"/>
      <c r="O32" s="250"/>
      <c r="P32" s="250"/>
      <c r="Q32" s="251"/>
    </row>
    <row r="33" spans="1:17" ht="14.4" x14ac:dyDescent="0.3">
      <c r="A33" s="157"/>
      <c r="B33" s="265" t="s">
        <v>78</v>
      </c>
      <c r="C33" s="158">
        <f t="shared" si="30"/>
        <v>0</v>
      </c>
      <c r="D33" s="159" t="s">
        <v>96</v>
      </c>
      <c r="E33" s="209"/>
      <c r="F33" s="249"/>
      <c r="G33" s="250"/>
      <c r="H33" s="250"/>
      <c r="I33" s="250"/>
      <c r="J33" s="250"/>
      <c r="K33" s="250"/>
      <c r="L33" s="250"/>
      <c r="M33" s="250"/>
      <c r="N33" s="250"/>
      <c r="O33" s="250"/>
      <c r="P33" s="250"/>
      <c r="Q33" s="251"/>
    </row>
    <row r="34" spans="1:17" ht="14.4" x14ac:dyDescent="0.3">
      <c r="A34" s="157"/>
      <c r="B34" s="265" t="s">
        <v>82</v>
      </c>
      <c r="C34" s="158">
        <f t="shared" si="30"/>
        <v>0</v>
      </c>
      <c r="D34" s="159" t="s">
        <v>87</v>
      </c>
      <c r="E34" s="209"/>
      <c r="F34" s="249"/>
      <c r="G34" s="250"/>
      <c r="H34" s="250"/>
      <c r="I34" s="250"/>
      <c r="J34" s="250"/>
      <c r="K34" s="250"/>
      <c r="L34" s="250"/>
      <c r="M34" s="250"/>
      <c r="N34" s="250"/>
      <c r="O34" s="250"/>
      <c r="P34" s="250"/>
      <c r="Q34" s="251"/>
    </row>
    <row r="35" spans="1:17" ht="14.4" x14ac:dyDescent="0.3">
      <c r="A35" s="157"/>
      <c r="B35" s="265" t="s">
        <v>83</v>
      </c>
      <c r="C35" s="158">
        <f t="shared" si="30"/>
        <v>0</v>
      </c>
      <c r="D35" s="159" t="s">
        <v>88</v>
      </c>
      <c r="E35" s="209"/>
      <c r="F35" s="249"/>
      <c r="G35" s="250"/>
      <c r="H35" s="250"/>
      <c r="I35" s="250"/>
      <c r="J35" s="250"/>
      <c r="K35" s="250"/>
      <c r="L35" s="250"/>
      <c r="M35" s="250"/>
      <c r="N35" s="250"/>
      <c r="O35" s="250"/>
      <c r="P35" s="250"/>
      <c r="Q35" s="251"/>
    </row>
    <row r="36" spans="1:17" ht="14.4" x14ac:dyDescent="0.3">
      <c r="A36" s="255"/>
      <c r="B36" s="266" t="s">
        <v>84</v>
      </c>
      <c r="C36" s="158">
        <f t="shared" si="30"/>
        <v>0</v>
      </c>
      <c r="D36" s="256" t="s">
        <v>97</v>
      </c>
      <c r="E36" s="209"/>
      <c r="F36" s="249"/>
      <c r="G36" s="250"/>
      <c r="H36" s="250"/>
      <c r="I36" s="250"/>
      <c r="J36" s="250"/>
      <c r="K36" s="250"/>
      <c r="L36" s="250"/>
      <c r="M36" s="250"/>
      <c r="N36" s="250"/>
      <c r="O36" s="250"/>
      <c r="P36" s="250"/>
      <c r="Q36" s="251"/>
    </row>
    <row r="37" spans="1:17" ht="15" thickBot="1" x14ac:dyDescent="0.35">
      <c r="A37" s="398"/>
      <c r="B37" s="395" t="s">
        <v>105</v>
      </c>
      <c r="C37" s="396">
        <f t="shared" si="30"/>
        <v>0</v>
      </c>
      <c r="D37" s="397"/>
      <c r="E37" s="209"/>
      <c r="F37" s="252"/>
      <c r="G37" s="253"/>
      <c r="H37" s="253"/>
      <c r="I37" s="253"/>
      <c r="J37" s="253"/>
      <c r="K37" s="253"/>
      <c r="L37" s="253"/>
      <c r="M37" s="253"/>
      <c r="N37" s="253"/>
      <c r="O37" s="253"/>
      <c r="P37" s="253"/>
      <c r="Q37" s="254"/>
    </row>
    <row r="38" spans="1:17" ht="10.8" thickBot="1" x14ac:dyDescent="0.35">
      <c r="A38" s="241"/>
      <c r="B38" s="267" t="s">
        <v>196</v>
      </c>
      <c r="C38" s="154">
        <f>SUBTOTAL(9,C31:C37)</f>
        <v>0</v>
      </c>
      <c r="D38" s="239"/>
      <c r="E38" s="208"/>
      <c r="F38" s="271">
        <f t="shared" ref="F38:Q38" si="31">SUBTOTAL(9,F31:F37)</f>
        <v>0</v>
      </c>
      <c r="G38" s="272">
        <f t="shared" si="31"/>
        <v>0</v>
      </c>
      <c r="H38" s="272">
        <f t="shared" si="31"/>
        <v>0</v>
      </c>
      <c r="I38" s="272">
        <f t="shared" si="31"/>
        <v>0</v>
      </c>
      <c r="J38" s="272">
        <f t="shared" si="31"/>
        <v>0</v>
      </c>
      <c r="K38" s="272">
        <f t="shared" si="31"/>
        <v>0</v>
      </c>
      <c r="L38" s="272">
        <f t="shared" si="31"/>
        <v>0</v>
      </c>
      <c r="M38" s="272">
        <f t="shared" si="31"/>
        <v>0</v>
      </c>
      <c r="N38" s="272">
        <f t="shared" si="31"/>
        <v>0</v>
      </c>
      <c r="O38" s="272">
        <f t="shared" si="31"/>
        <v>0</v>
      </c>
      <c r="P38" s="272">
        <f t="shared" si="31"/>
        <v>0</v>
      </c>
      <c r="Q38" s="273">
        <f t="shared" si="31"/>
        <v>0</v>
      </c>
    </row>
    <row r="39" spans="1:17" x14ac:dyDescent="0.3">
      <c r="A39" s="261" t="s">
        <v>179</v>
      </c>
      <c r="B39" s="262" t="s">
        <v>180</v>
      </c>
      <c r="C39" s="158">
        <f t="shared" ref="C39:C40" si="32">SUM(F39:Q39)</f>
        <v>0</v>
      </c>
      <c r="D39" s="263"/>
      <c r="E39" s="208"/>
      <c r="F39" s="268"/>
      <c r="G39" s="269"/>
      <c r="H39" s="269"/>
      <c r="I39" s="269"/>
      <c r="J39" s="269"/>
      <c r="K39" s="269"/>
      <c r="L39" s="269"/>
      <c r="M39" s="269"/>
      <c r="N39" s="269"/>
      <c r="O39" s="269"/>
      <c r="P39" s="269"/>
      <c r="Q39" s="270"/>
    </row>
    <row r="40" spans="1:17" ht="10.8" thickBot="1" x14ac:dyDescent="0.35">
      <c r="A40" s="400"/>
      <c r="B40" s="401" t="s">
        <v>186</v>
      </c>
      <c r="C40" s="396">
        <f t="shared" si="32"/>
        <v>0</v>
      </c>
      <c r="D40" s="240"/>
      <c r="E40" s="208"/>
      <c r="F40" s="249"/>
      <c r="G40" s="250"/>
      <c r="H40" s="250"/>
      <c r="I40" s="250"/>
      <c r="J40" s="250"/>
      <c r="K40" s="250"/>
      <c r="L40" s="250"/>
      <c r="M40" s="250"/>
      <c r="N40" s="250"/>
      <c r="O40" s="250"/>
      <c r="P40" s="250"/>
      <c r="Q40" s="251"/>
    </row>
    <row r="41" spans="1:17" ht="10.8" thickBot="1" x14ac:dyDescent="0.35">
      <c r="A41" s="243"/>
      <c r="B41" s="267" t="s">
        <v>196</v>
      </c>
      <c r="C41" s="399">
        <f>SUM(C39:C40)</f>
        <v>0</v>
      </c>
      <c r="D41" s="240"/>
      <c r="E41" s="208"/>
      <c r="F41" s="274">
        <f>SUM(F39:F40)</f>
        <v>0</v>
      </c>
      <c r="G41" s="274">
        <f t="shared" ref="G41:Q41" si="33">SUM(G39:G40)</f>
        <v>0</v>
      </c>
      <c r="H41" s="274">
        <f t="shared" si="33"/>
        <v>0</v>
      </c>
      <c r="I41" s="274">
        <f t="shared" si="33"/>
        <v>0</v>
      </c>
      <c r="J41" s="274">
        <f t="shared" si="33"/>
        <v>0</v>
      </c>
      <c r="K41" s="274">
        <f t="shared" si="33"/>
        <v>0</v>
      </c>
      <c r="L41" s="274">
        <f t="shared" si="33"/>
        <v>0</v>
      </c>
      <c r="M41" s="274">
        <f t="shared" si="33"/>
        <v>0</v>
      </c>
      <c r="N41" s="274">
        <f t="shared" si="33"/>
        <v>0</v>
      </c>
      <c r="O41" s="274">
        <f t="shared" si="33"/>
        <v>0</v>
      </c>
      <c r="P41" s="274">
        <f t="shared" si="33"/>
        <v>0</v>
      </c>
      <c r="Q41" s="274">
        <f t="shared" si="33"/>
        <v>0</v>
      </c>
    </row>
    <row r="42" spans="1:17" ht="10.8" thickBot="1" x14ac:dyDescent="0.35"/>
    <row r="43" spans="1:17" ht="27" customHeight="1" x14ac:dyDescent="0.3">
      <c r="A43" s="450" t="e">
        <f>CONCATENATE("Total "," Project Chartfield: Org ",Assumptions!#REF!," - Fund ",Assumptions!#REF!," Project ",Assumptions!#REF!)</f>
        <v>#REF!</v>
      </c>
      <c r="B43" s="451"/>
      <c r="C43" s="233" t="s">
        <v>4</v>
      </c>
      <c r="D43" s="234" t="s">
        <v>99</v>
      </c>
    </row>
    <row r="44" spans="1:17" ht="10.8" thickBot="1" x14ac:dyDescent="0.35">
      <c r="A44" s="235" t="s">
        <v>48</v>
      </c>
      <c r="B44" s="236" t="s">
        <v>49</v>
      </c>
      <c r="C44" s="237"/>
      <c r="D44" s="238"/>
    </row>
    <row r="45" spans="1:17" ht="14.4" x14ac:dyDescent="0.3">
      <c r="A45" s="242" t="s">
        <v>50</v>
      </c>
      <c r="B45" s="264" t="s">
        <v>77</v>
      </c>
      <c r="C45" s="155">
        <f t="shared" ref="C45:C51" si="34">C3+C17+C31</f>
        <v>0</v>
      </c>
      <c r="D45" s="156" t="s">
        <v>85</v>
      </c>
      <c r="E45" s="162"/>
    </row>
    <row r="46" spans="1:17" ht="14.4" x14ac:dyDescent="0.3">
      <c r="A46" s="157"/>
      <c r="B46" s="265" t="s">
        <v>81</v>
      </c>
      <c r="C46" s="158">
        <f t="shared" si="34"/>
        <v>0</v>
      </c>
      <c r="D46" s="159" t="s">
        <v>86</v>
      </c>
      <c r="E46" s="162"/>
    </row>
    <row r="47" spans="1:17" ht="14.4" x14ac:dyDescent="0.3">
      <c r="A47" s="157"/>
      <c r="B47" s="265" t="s">
        <v>78</v>
      </c>
      <c r="C47" s="158">
        <f t="shared" si="34"/>
        <v>0</v>
      </c>
      <c r="D47" s="159" t="s">
        <v>96</v>
      </c>
      <c r="E47" s="162"/>
    </row>
    <row r="48" spans="1:17" ht="14.4" x14ac:dyDescent="0.3">
      <c r="A48" s="157"/>
      <c r="B48" s="265" t="s">
        <v>82</v>
      </c>
      <c r="C48" s="158">
        <f t="shared" si="34"/>
        <v>0</v>
      </c>
      <c r="D48" s="159" t="s">
        <v>87</v>
      </c>
      <c r="E48" s="162"/>
    </row>
    <row r="49" spans="1:5" ht="14.4" x14ac:dyDescent="0.3">
      <c r="A49" s="157"/>
      <c r="B49" s="265" t="s">
        <v>83</v>
      </c>
      <c r="C49" s="158">
        <f t="shared" si="34"/>
        <v>0</v>
      </c>
      <c r="D49" s="159" t="s">
        <v>88</v>
      </c>
      <c r="E49" s="162"/>
    </row>
    <row r="50" spans="1:5" ht="14.4" x14ac:dyDescent="0.3">
      <c r="A50" s="255"/>
      <c r="B50" s="266" t="s">
        <v>84</v>
      </c>
      <c r="C50" s="158">
        <f t="shared" si="34"/>
        <v>0</v>
      </c>
      <c r="D50" s="256" t="s">
        <v>97</v>
      </c>
      <c r="E50" s="162"/>
    </row>
    <row r="51" spans="1:5" ht="15" thickBot="1" x14ac:dyDescent="0.35">
      <c r="A51" s="398"/>
      <c r="B51" s="395" t="s">
        <v>105</v>
      </c>
      <c r="C51" s="396">
        <f t="shared" si="34"/>
        <v>0</v>
      </c>
      <c r="D51" s="397"/>
      <c r="E51" s="162"/>
    </row>
    <row r="52" spans="1:5" ht="10.8" thickBot="1" x14ac:dyDescent="0.35">
      <c r="A52" s="241"/>
      <c r="B52" s="267" t="s">
        <v>197</v>
      </c>
      <c r="C52" s="154">
        <f>SUBTOTAL(9,C45:C51)</f>
        <v>0</v>
      </c>
      <c r="D52" s="239"/>
    </row>
    <row r="53" spans="1:5" x14ac:dyDescent="0.3">
      <c r="A53" s="261" t="s">
        <v>179</v>
      </c>
      <c r="B53" s="262" t="s">
        <v>180</v>
      </c>
      <c r="C53" s="158">
        <f>C11+C25+C39</f>
        <v>0</v>
      </c>
      <c r="D53" s="263"/>
    </row>
    <row r="54" spans="1:5" ht="10.8" thickBot="1" x14ac:dyDescent="0.35">
      <c r="A54" s="400"/>
      <c r="B54" s="401" t="s">
        <v>186</v>
      </c>
      <c r="C54" s="396">
        <f>C12+C26+C40</f>
        <v>0</v>
      </c>
      <c r="D54" s="240"/>
    </row>
    <row r="55" spans="1:5" ht="10.8" thickBot="1" x14ac:dyDescent="0.35">
      <c r="A55" s="243"/>
      <c r="B55" s="267" t="s">
        <v>196</v>
      </c>
      <c r="C55" s="399">
        <f>SUM(C53:C54)</f>
        <v>0</v>
      </c>
      <c r="D55" s="240"/>
    </row>
  </sheetData>
  <mergeCells count="4">
    <mergeCell ref="A1:B1"/>
    <mergeCell ref="A15:B15"/>
    <mergeCell ref="A29:B29"/>
    <mergeCell ref="A43:B43"/>
  </mergeCells>
  <printOptions gridLines="1"/>
  <pageMargins left="0.25" right="0.25" top="0.75" bottom="0.75" header="0.3" footer="0.3"/>
  <pageSetup scale="54" orientation="landscape" r:id="rId1"/>
  <headerFooter>
    <oddHeader>&amp;C&amp;"Arial,Bold"&amp;14&amp;K000000&amp;A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P53"/>
  <sheetViews>
    <sheetView zoomScaleNormal="100" workbookViewId="0">
      <pane xSplit="6" ySplit="1" topLeftCell="AH2" activePane="bottomRight" state="frozen"/>
      <selection pane="topRight" activeCell="G1" sqref="G1"/>
      <selection pane="bottomLeft" activeCell="A2" sqref="A2"/>
      <selection pane="bottomRight" activeCell="AI4" sqref="AI4"/>
    </sheetView>
  </sheetViews>
  <sheetFormatPr defaultColWidth="9.109375" defaultRowHeight="10.199999999999999" x14ac:dyDescent="0.2"/>
  <cols>
    <col min="1" max="1" width="36.5546875" style="26" bestFit="1" customWidth="1"/>
    <col min="2" max="2" width="22.109375" style="26" customWidth="1"/>
    <col min="3" max="3" width="25" style="26" customWidth="1"/>
    <col min="4" max="4" width="13.109375" style="26" bestFit="1" customWidth="1"/>
    <col min="5" max="5" width="11.33203125" style="26" bestFit="1" customWidth="1"/>
    <col min="6" max="6" width="9.6640625" style="26" customWidth="1"/>
    <col min="7" max="42" width="9.5546875" style="26" customWidth="1"/>
    <col min="43" max="16384" width="9.109375" style="26"/>
  </cols>
  <sheetData>
    <row r="1" spans="1:42" ht="15.75" customHeight="1" thickBot="1" x14ac:dyDescent="0.25">
      <c r="A1" s="275" t="s">
        <v>56</v>
      </c>
      <c r="B1" s="276" t="s">
        <v>100</v>
      </c>
      <c r="C1" s="277" t="s">
        <v>57</v>
      </c>
      <c r="D1" s="278" t="s">
        <v>108</v>
      </c>
      <c r="E1" s="279" t="s">
        <v>158</v>
      </c>
      <c r="F1" s="278" t="s">
        <v>5</v>
      </c>
      <c r="G1" s="244">
        <f>Assumptions!C2</f>
        <v>41821</v>
      </c>
      <c r="H1" s="245">
        <f>EDATE(G1,1)</f>
        <v>41852</v>
      </c>
      <c r="I1" s="245">
        <f t="shared" ref="I1:AP1" si="0">EDATE(H1,1)</f>
        <v>41883</v>
      </c>
      <c r="J1" s="245">
        <f t="shared" si="0"/>
        <v>41913</v>
      </c>
      <c r="K1" s="245">
        <f t="shared" si="0"/>
        <v>41944</v>
      </c>
      <c r="L1" s="245">
        <f t="shared" si="0"/>
        <v>41974</v>
      </c>
      <c r="M1" s="245">
        <f t="shared" si="0"/>
        <v>42005</v>
      </c>
      <c r="N1" s="245">
        <f t="shared" si="0"/>
        <v>42036</v>
      </c>
      <c r="O1" s="245">
        <f t="shared" si="0"/>
        <v>42064</v>
      </c>
      <c r="P1" s="245">
        <f t="shared" si="0"/>
        <v>42095</v>
      </c>
      <c r="Q1" s="245">
        <f t="shared" si="0"/>
        <v>42125</v>
      </c>
      <c r="R1" s="245">
        <f t="shared" si="0"/>
        <v>42156</v>
      </c>
      <c r="S1" s="245">
        <f t="shared" si="0"/>
        <v>42186</v>
      </c>
      <c r="T1" s="245">
        <f t="shared" si="0"/>
        <v>42217</v>
      </c>
      <c r="U1" s="245">
        <f t="shared" si="0"/>
        <v>42248</v>
      </c>
      <c r="V1" s="245">
        <f t="shared" si="0"/>
        <v>42278</v>
      </c>
      <c r="W1" s="245">
        <f t="shared" si="0"/>
        <v>42309</v>
      </c>
      <c r="X1" s="245">
        <f t="shared" si="0"/>
        <v>42339</v>
      </c>
      <c r="Y1" s="245">
        <f t="shared" si="0"/>
        <v>42370</v>
      </c>
      <c r="Z1" s="245">
        <f t="shared" si="0"/>
        <v>42401</v>
      </c>
      <c r="AA1" s="245">
        <f t="shared" si="0"/>
        <v>42430</v>
      </c>
      <c r="AB1" s="245">
        <f t="shared" si="0"/>
        <v>42461</v>
      </c>
      <c r="AC1" s="245">
        <f t="shared" si="0"/>
        <v>42491</v>
      </c>
      <c r="AD1" s="245">
        <f t="shared" si="0"/>
        <v>42522</v>
      </c>
      <c r="AE1" s="245">
        <f t="shared" si="0"/>
        <v>42552</v>
      </c>
      <c r="AF1" s="245">
        <f t="shared" si="0"/>
        <v>42583</v>
      </c>
      <c r="AG1" s="245">
        <f t="shared" si="0"/>
        <v>42614</v>
      </c>
      <c r="AH1" s="245">
        <f t="shared" si="0"/>
        <v>42644</v>
      </c>
      <c r="AI1" s="245">
        <f t="shared" si="0"/>
        <v>42675</v>
      </c>
      <c r="AJ1" s="245">
        <f t="shared" si="0"/>
        <v>42705</v>
      </c>
      <c r="AK1" s="245">
        <f t="shared" si="0"/>
        <v>42736</v>
      </c>
      <c r="AL1" s="245">
        <f t="shared" si="0"/>
        <v>42767</v>
      </c>
      <c r="AM1" s="245">
        <f t="shared" si="0"/>
        <v>42795</v>
      </c>
      <c r="AN1" s="245">
        <f t="shared" si="0"/>
        <v>42826</v>
      </c>
      <c r="AO1" s="245">
        <f t="shared" si="0"/>
        <v>42856</v>
      </c>
      <c r="AP1" s="245">
        <f t="shared" si="0"/>
        <v>42887</v>
      </c>
    </row>
    <row r="2" spans="1:42" ht="12" x14ac:dyDescent="0.2">
      <c r="A2" s="457" t="s">
        <v>157</v>
      </c>
      <c r="B2" s="459"/>
      <c r="C2" s="459"/>
      <c r="D2" s="454">
        <f>SUM(E2:E3)</f>
        <v>0</v>
      </c>
      <c r="E2" s="203">
        <f>SUM(E4+E26+E36+E42)</f>
        <v>0</v>
      </c>
      <c r="F2" s="163" t="s">
        <v>55</v>
      </c>
      <c r="G2" s="164">
        <f>SUM(G4+G26+G36+G42)</f>
        <v>0</v>
      </c>
      <c r="H2" s="165">
        <f t="shared" ref="H2:R2" si="1">SUM(H4+H26+H36+H42)</f>
        <v>0</v>
      </c>
      <c r="I2" s="165">
        <f t="shared" si="1"/>
        <v>0</v>
      </c>
      <c r="J2" s="165">
        <f t="shared" si="1"/>
        <v>0</v>
      </c>
      <c r="K2" s="165">
        <f t="shared" si="1"/>
        <v>0</v>
      </c>
      <c r="L2" s="165">
        <f t="shared" si="1"/>
        <v>0</v>
      </c>
      <c r="M2" s="165">
        <f t="shared" si="1"/>
        <v>0</v>
      </c>
      <c r="N2" s="165">
        <f t="shared" si="1"/>
        <v>0</v>
      </c>
      <c r="O2" s="165">
        <f t="shared" si="1"/>
        <v>0</v>
      </c>
      <c r="P2" s="165">
        <f t="shared" si="1"/>
        <v>0</v>
      </c>
      <c r="Q2" s="165">
        <f t="shared" si="1"/>
        <v>0</v>
      </c>
      <c r="R2" s="165">
        <f t="shared" si="1"/>
        <v>0</v>
      </c>
      <c r="S2" s="165">
        <f t="shared" ref="S2:AP2" si="2">SUM(S4+S26+S36+S42)</f>
        <v>0</v>
      </c>
      <c r="T2" s="165">
        <f t="shared" si="2"/>
        <v>0</v>
      </c>
      <c r="U2" s="165">
        <f t="shared" si="2"/>
        <v>0</v>
      </c>
      <c r="V2" s="165">
        <f t="shared" si="2"/>
        <v>0</v>
      </c>
      <c r="W2" s="165">
        <f t="shared" si="2"/>
        <v>0</v>
      </c>
      <c r="X2" s="165">
        <f t="shared" si="2"/>
        <v>0</v>
      </c>
      <c r="Y2" s="165">
        <f t="shared" si="2"/>
        <v>0</v>
      </c>
      <c r="Z2" s="165">
        <f t="shared" si="2"/>
        <v>0</v>
      </c>
      <c r="AA2" s="165">
        <f t="shared" si="2"/>
        <v>0</v>
      </c>
      <c r="AB2" s="195">
        <f t="shared" si="2"/>
        <v>0</v>
      </c>
      <c r="AC2" s="164">
        <f t="shared" si="2"/>
        <v>0</v>
      </c>
      <c r="AD2" s="165">
        <f t="shared" si="2"/>
        <v>0</v>
      </c>
      <c r="AE2" s="165">
        <f t="shared" si="2"/>
        <v>0</v>
      </c>
      <c r="AF2" s="165">
        <f t="shared" si="2"/>
        <v>0</v>
      </c>
      <c r="AG2" s="165">
        <f t="shared" si="2"/>
        <v>0</v>
      </c>
      <c r="AH2" s="165">
        <f t="shared" si="2"/>
        <v>0</v>
      </c>
      <c r="AI2" s="165">
        <f t="shared" si="2"/>
        <v>0</v>
      </c>
      <c r="AJ2" s="165">
        <f t="shared" si="2"/>
        <v>0</v>
      </c>
      <c r="AK2" s="165">
        <f t="shared" si="2"/>
        <v>0</v>
      </c>
      <c r="AL2" s="165">
        <f t="shared" si="2"/>
        <v>0</v>
      </c>
      <c r="AM2" s="165">
        <f t="shared" si="2"/>
        <v>0</v>
      </c>
      <c r="AN2" s="165">
        <f t="shared" si="2"/>
        <v>0</v>
      </c>
      <c r="AO2" s="165">
        <f t="shared" si="2"/>
        <v>0</v>
      </c>
      <c r="AP2" s="199">
        <f t="shared" si="2"/>
        <v>0</v>
      </c>
    </row>
    <row r="3" spans="1:42" s="34" customFormat="1" ht="15.75" customHeight="1" thickBot="1" x14ac:dyDescent="0.25">
      <c r="A3" s="458"/>
      <c r="B3" s="460"/>
      <c r="C3" s="460"/>
      <c r="D3" s="453"/>
      <c r="E3" s="204">
        <f>SUM(E5+E27+E37+E43)</f>
        <v>0</v>
      </c>
      <c r="F3" s="166" t="s">
        <v>102</v>
      </c>
      <c r="G3" s="167">
        <f>SUM(G5+G27+G37+G43)</f>
        <v>0</v>
      </c>
      <c r="H3" s="168">
        <f t="shared" ref="H3:R3" si="3">SUM(H5+H27+H37+H43)</f>
        <v>0</v>
      </c>
      <c r="I3" s="168">
        <f t="shared" si="3"/>
        <v>0</v>
      </c>
      <c r="J3" s="168">
        <f t="shared" si="3"/>
        <v>0</v>
      </c>
      <c r="K3" s="168">
        <f t="shared" si="3"/>
        <v>0</v>
      </c>
      <c r="L3" s="168">
        <f t="shared" si="3"/>
        <v>0</v>
      </c>
      <c r="M3" s="168">
        <f t="shared" si="3"/>
        <v>0</v>
      </c>
      <c r="N3" s="168">
        <f t="shared" si="3"/>
        <v>0</v>
      </c>
      <c r="O3" s="168">
        <f t="shared" si="3"/>
        <v>0</v>
      </c>
      <c r="P3" s="168">
        <f t="shared" si="3"/>
        <v>0</v>
      </c>
      <c r="Q3" s="168">
        <f t="shared" si="3"/>
        <v>0</v>
      </c>
      <c r="R3" s="168">
        <f t="shared" si="3"/>
        <v>0</v>
      </c>
      <c r="S3" s="168">
        <f t="shared" ref="S3:AP3" si="4">SUM(S5+S27+S37+S43)</f>
        <v>0</v>
      </c>
      <c r="T3" s="168">
        <f t="shared" si="4"/>
        <v>0</v>
      </c>
      <c r="U3" s="168">
        <f t="shared" si="4"/>
        <v>0</v>
      </c>
      <c r="V3" s="168">
        <f t="shared" si="4"/>
        <v>0</v>
      </c>
      <c r="W3" s="168">
        <f t="shared" si="4"/>
        <v>0</v>
      </c>
      <c r="X3" s="168">
        <f t="shared" si="4"/>
        <v>0</v>
      </c>
      <c r="Y3" s="168">
        <f t="shared" si="4"/>
        <v>0</v>
      </c>
      <c r="Z3" s="168">
        <f t="shared" si="4"/>
        <v>0</v>
      </c>
      <c r="AA3" s="168">
        <f t="shared" si="4"/>
        <v>0</v>
      </c>
      <c r="AB3" s="196">
        <f t="shared" si="4"/>
        <v>0</v>
      </c>
      <c r="AC3" s="167">
        <f t="shared" si="4"/>
        <v>0</v>
      </c>
      <c r="AD3" s="168">
        <f t="shared" si="4"/>
        <v>0</v>
      </c>
      <c r="AE3" s="168">
        <f t="shared" si="4"/>
        <v>0</v>
      </c>
      <c r="AF3" s="168">
        <f t="shared" si="4"/>
        <v>0</v>
      </c>
      <c r="AG3" s="168">
        <f t="shared" si="4"/>
        <v>0</v>
      </c>
      <c r="AH3" s="168">
        <f t="shared" si="4"/>
        <v>0</v>
      </c>
      <c r="AI3" s="168">
        <f t="shared" si="4"/>
        <v>0</v>
      </c>
      <c r="AJ3" s="168">
        <f t="shared" si="4"/>
        <v>0</v>
      </c>
      <c r="AK3" s="168">
        <f t="shared" si="4"/>
        <v>0</v>
      </c>
      <c r="AL3" s="168">
        <f t="shared" si="4"/>
        <v>0</v>
      </c>
      <c r="AM3" s="168">
        <f t="shared" si="4"/>
        <v>0</v>
      </c>
      <c r="AN3" s="168">
        <f t="shared" si="4"/>
        <v>0</v>
      </c>
      <c r="AO3" s="168">
        <f t="shared" si="4"/>
        <v>0</v>
      </c>
      <c r="AP3" s="200">
        <f t="shared" si="4"/>
        <v>0</v>
      </c>
    </row>
    <row r="4" spans="1:42" s="35" customFormat="1" ht="12" customHeight="1" x14ac:dyDescent="0.2">
      <c r="A4" s="169"/>
      <c r="B4" s="170"/>
      <c r="C4" s="171"/>
      <c r="D4" s="461">
        <f>SUM(E4:E5)</f>
        <v>0</v>
      </c>
      <c r="E4" s="205">
        <f>SUMIF($F$6:$F$25, "Forecast",E6:E25)</f>
        <v>0</v>
      </c>
      <c r="F4" s="163" t="s">
        <v>55</v>
      </c>
      <c r="G4" s="172">
        <f>SUMIF($F$6:$F$25, "Forecast",G6:G25)</f>
        <v>0</v>
      </c>
      <c r="H4" s="173">
        <f t="shared" ref="H4:Q4" si="5">SUMIF($F$6:$F$25, "Forecast",H6:H25)</f>
        <v>0</v>
      </c>
      <c r="I4" s="173">
        <f t="shared" si="5"/>
        <v>0</v>
      </c>
      <c r="J4" s="173">
        <f t="shared" si="5"/>
        <v>0</v>
      </c>
      <c r="K4" s="173">
        <f t="shared" si="5"/>
        <v>0</v>
      </c>
      <c r="L4" s="173">
        <f t="shared" si="5"/>
        <v>0</v>
      </c>
      <c r="M4" s="173">
        <f t="shared" si="5"/>
        <v>0</v>
      </c>
      <c r="N4" s="173">
        <f t="shared" si="5"/>
        <v>0</v>
      </c>
      <c r="O4" s="173">
        <f t="shared" si="5"/>
        <v>0</v>
      </c>
      <c r="P4" s="173">
        <f t="shared" si="5"/>
        <v>0</v>
      </c>
      <c r="Q4" s="173">
        <f t="shared" si="5"/>
        <v>0</v>
      </c>
      <c r="R4" s="173">
        <f>SUMIF($F$6:$F$25, "Forecast",R6:R25)</f>
        <v>0</v>
      </c>
      <c r="S4" s="173">
        <f t="shared" ref="S4:AP4" si="6">SUMIF($F$6:$F$25, "Forecast",S6:S25)</f>
        <v>0</v>
      </c>
      <c r="T4" s="173">
        <f t="shared" si="6"/>
        <v>0</v>
      </c>
      <c r="U4" s="173">
        <f t="shared" si="6"/>
        <v>0</v>
      </c>
      <c r="V4" s="173">
        <f t="shared" si="6"/>
        <v>0</v>
      </c>
      <c r="W4" s="173">
        <f t="shared" si="6"/>
        <v>0</v>
      </c>
      <c r="X4" s="173">
        <f t="shared" si="6"/>
        <v>0</v>
      </c>
      <c r="Y4" s="173">
        <f t="shared" si="6"/>
        <v>0</v>
      </c>
      <c r="Z4" s="173">
        <f t="shared" si="6"/>
        <v>0</v>
      </c>
      <c r="AA4" s="173">
        <f t="shared" si="6"/>
        <v>0</v>
      </c>
      <c r="AB4" s="197">
        <f t="shared" si="6"/>
        <v>0</v>
      </c>
      <c r="AC4" s="172">
        <f t="shared" si="6"/>
        <v>0</v>
      </c>
      <c r="AD4" s="173">
        <f t="shared" si="6"/>
        <v>0</v>
      </c>
      <c r="AE4" s="173">
        <f t="shared" si="6"/>
        <v>0</v>
      </c>
      <c r="AF4" s="173">
        <f t="shared" si="6"/>
        <v>0</v>
      </c>
      <c r="AG4" s="173">
        <f t="shared" si="6"/>
        <v>0</v>
      </c>
      <c r="AH4" s="173">
        <f t="shared" si="6"/>
        <v>0</v>
      </c>
      <c r="AI4" s="173">
        <f t="shared" si="6"/>
        <v>0</v>
      </c>
      <c r="AJ4" s="173">
        <f t="shared" si="6"/>
        <v>0</v>
      </c>
      <c r="AK4" s="173">
        <f t="shared" si="6"/>
        <v>0</v>
      </c>
      <c r="AL4" s="173">
        <f t="shared" si="6"/>
        <v>0</v>
      </c>
      <c r="AM4" s="173">
        <f t="shared" si="6"/>
        <v>0</v>
      </c>
      <c r="AN4" s="173">
        <f t="shared" si="6"/>
        <v>0</v>
      </c>
      <c r="AO4" s="173">
        <f t="shared" si="6"/>
        <v>0</v>
      </c>
      <c r="AP4" s="201">
        <f t="shared" si="6"/>
        <v>0</v>
      </c>
    </row>
    <row r="5" spans="1:42" s="35" customFormat="1" ht="12" customHeight="1" thickBot="1" x14ac:dyDescent="0.25">
      <c r="A5" s="174" t="s">
        <v>78</v>
      </c>
      <c r="B5" s="175"/>
      <c r="C5" s="176"/>
      <c r="D5" s="462"/>
      <c r="E5" s="206">
        <f>SUMIF($F$6:$F$25, "Actual",E6:E25)</f>
        <v>0</v>
      </c>
      <c r="F5" s="166" t="s">
        <v>102</v>
      </c>
      <c r="G5" s="172">
        <f>SUMIF($F$6:$F$25, "Actual",G6:G25)</f>
        <v>0</v>
      </c>
      <c r="H5" s="173">
        <f>SUMIF($F$6:$F$25, "Actual",H6:H25)</f>
        <v>0</v>
      </c>
      <c r="I5" s="173">
        <f t="shared" ref="I5:Q5" si="7">SUMIF($F$6:$F$25, "Actual",I6:I25)</f>
        <v>0</v>
      </c>
      <c r="J5" s="173">
        <f t="shared" si="7"/>
        <v>0</v>
      </c>
      <c r="K5" s="173">
        <f t="shared" si="7"/>
        <v>0</v>
      </c>
      <c r="L5" s="173">
        <f t="shared" si="7"/>
        <v>0</v>
      </c>
      <c r="M5" s="173">
        <f t="shared" si="7"/>
        <v>0</v>
      </c>
      <c r="N5" s="177">
        <f t="shared" si="7"/>
        <v>0</v>
      </c>
      <c r="O5" s="177">
        <f t="shared" si="7"/>
        <v>0</v>
      </c>
      <c r="P5" s="177">
        <f t="shared" si="7"/>
        <v>0</v>
      </c>
      <c r="Q5" s="177">
        <f t="shared" si="7"/>
        <v>0</v>
      </c>
      <c r="R5" s="177">
        <f>SUMIF($F$6:$F$25, "Actual",R6:R25)</f>
        <v>0</v>
      </c>
      <c r="S5" s="177">
        <f t="shared" ref="S5:AP5" si="8">SUMIF($F$6:$F$25, "Actual",S6:S25)</f>
        <v>0</v>
      </c>
      <c r="T5" s="177">
        <f t="shared" si="8"/>
        <v>0</v>
      </c>
      <c r="U5" s="177">
        <f t="shared" si="8"/>
        <v>0</v>
      </c>
      <c r="V5" s="177">
        <f t="shared" si="8"/>
        <v>0</v>
      </c>
      <c r="W5" s="177">
        <f t="shared" si="8"/>
        <v>0</v>
      </c>
      <c r="X5" s="177">
        <f t="shared" si="8"/>
        <v>0</v>
      </c>
      <c r="Y5" s="177">
        <f t="shared" si="8"/>
        <v>0</v>
      </c>
      <c r="Z5" s="177">
        <f t="shared" si="8"/>
        <v>0</v>
      </c>
      <c r="AA5" s="177">
        <f t="shared" si="8"/>
        <v>0</v>
      </c>
      <c r="AB5" s="198">
        <f t="shared" si="8"/>
        <v>0</v>
      </c>
      <c r="AC5" s="187">
        <f t="shared" si="8"/>
        <v>0</v>
      </c>
      <c r="AD5" s="177">
        <f t="shared" si="8"/>
        <v>0</v>
      </c>
      <c r="AE5" s="177">
        <f t="shared" si="8"/>
        <v>0</v>
      </c>
      <c r="AF5" s="177">
        <f t="shared" si="8"/>
        <v>0</v>
      </c>
      <c r="AG5" s="177">
        <f t="shared" si="8"/>
        <v>0</v>
      </c>
      <c r="AH5" s="177">
        <f t="shared" si="8"/>
        <v>0</v>
      </c>
      <c r="AI5" s="177">
        <f t="shared" si="8"/>
        <v>0</v>
      </c>
      <c r="AJ5" s="177">
        <f t="shared" si="8"/>
        <v>0</v>
      </c>
      <c r="AK5" s="177">
        <f t="shared" si="8"/>
        <v>0</v>
      </c>
      <c r="AL5" s="177">
        <f t="shared" si="8"/>
        <v>0</v>
      </c>
      <c r="AM5" s="177">
        <f t="shared" si="8"/>
        <v>0</v>
      </c>
      <c r="AN5" s="177">
        <f t="shared" si="8"/>
        <v>0</v>
      </c>
      <c r="AO5" s="177">
        <f t="shared" si="8"/>
        <v>0</v>
      </c>
      <c r="AP5" s="202">
        <f t="shared" si="8"/>
        <v>0</v>
      </c>
    </row>
    <row r="6" spans="1:42" s="36" customFormat="1" ht="12" customHeight="1" x14ac:dyDescent="0.2">
      <c r="A6" s="280" t="s">
        <v>63</v>
      </c>
      <c r="B6" s="281"/>
      <c r="C6" s="282"/>
      <c r="D6" s="454">
        <f>SUM(E6:E7)</f>
        <v>0</v>
      </c>
      <c r="E6" s="178">
        <f t="shared" ref="E6:E25" si="9">SUM(G6:AP6)</f>
        <v>0</v>
      </c>
      <c r="F6" s="179" t="s">
        <v>55</v>
      </c>
      <c r="G6" s="306"/>
      <c r="H6" s="307"/>
      <c r="I6" s="307"/>
      <c r="J6" s="307"/>
      <c r="K6" s="307"/>
      <c r="L6" s="307"/>
      <c r="M6" s="307"/>
      <c r="N6" s="308"/>
      <c r="O6" s="308"/>
      <c r="P6" s="308"/>
      <c r="Q6" s="308"/>
      <c r="R6" s="308"/>
      <c r="S6" s="308"/>
      <c r="T6" s="308"/>
      <c r="U6" s="308"/>
      <c r="V6" s="308"/>
      <c r="W6" s="308"/>
      <c r="X6" s="308"/>
      <c r="Y6" s="308"/>
      <c r="Z6" s="308"/>
      <c r="AA6" s="308"/>
      <c r="AB6" s="309"/>
      <c r="AC6" s="310"/>
      <c r="AD6" s="308"/>
      <c r="AE6" s="308"/>
      <c r="AF6" s="308"/>
      <c r="AG6" s="308"/>
      <c r="AH6" s="308"/>
      <c r="AI6" s="308"/>
      <c r="AJ6" s="308"/>
      <c r="AK6" s="308"/>
      <c r="AL6" s="308"/>
      <c r="AM6" s="308"/>
      <c r="AN6" s="308"/>
      <c r="AO6" s="308"/>
      <c r="AP6" s="311"/>
    </row>
    <row r="7" spans="1:42" s="36" customFormat="1" ht="12" customHeight="1" x14ac:dyDescent="0.2">
      <c r="A7" s="283"/>
      <c r="B7" s="284"/>
      <c r="C7" s="285"/>
      <c r="D7" s="453"/>
      <c r="E7" s="180">
        <f t="shared" si="9"/>
        <v>0</v>
      </c>
      <c r="F7" s="181" t="s">
        <v>102</v>
      </c>
      <c r="G7" s="312"/>
      <c r="H7" s="313"/>
      <c r="I7" s="313"/>
      <c r="J7" s="313"/>
      <c r="K7" s="313"/>
      <c r="L7" s="313"/>
      <c r="M7" s="313"/>
      <c r="N7" s="313"/>
      <c r="O7" s="313"/>
      <c r="P7" s="313"/>
      <c r="Q7" s="313"/>
      <c r="R7" s="313"/>
      <c r="S7" s="313"/>
      <c r="T7" s="313"/>
      <c r="U7" s="313"/>
      <c r="V7" s="313"/>
      <c r="W7" s="313"/>
      <c r="X7" s="313"/>
      <c r="Y7" s="313"/>
      <c r="Z7" s="313"/>
      <c r="AA7" s="313"/>
      <c r="AB7" s="314"/>
      <c r="AC7" s="312"/>
      <c r="AD7" s="313"/>
      <c r="AE7" s="313"/>
      <c r="AF7" s="313"/>
      <c r="AG7" s="313"/>
      <c r="AH7" s="313"/>
      <c r="AI7" s="313"/>
      <c r="AJ7" s="313"/>
      <c r="AK7" s="313"/>
      <c r="AL7" s="313"/>
      <c r="AM7" s="313"/>
      <c r="AN7" s="313"/>
      <c r="AO7" s="313"/>
      <c r="AP7" s="315"/>
    </row>
    <row r="8" spans="1:42" s="36" customFormat="1" ht="12" customHeight="1" x14ac:dyDescent="0.2">
      <c r="A8" s="286" t="s">
        <v>64</v>
      </c>
      <c r="B8" s="287"/>
      <c r="C8" s="288"/>
      <c r="D8" s="452">
        <f>SUM(E8:E9)</f>
        <v>0</v>
      </c>
      <c r="E8" s="182">
        <f t="shared" si="9"/>
        <v>0</v>
      </c>
      <c r="F8" s="183" t="s">
        <v>55</v>
      </c>
      <c r="G8" s="306"/>
      <c r="H8" s="307"/>
      <c r="I8" s="307"/>
      <c r="J8" s="307"/>
      <c r="K8" s="307"/>
      <c r="L8" s="307"/>
      <c r="M8" s="307"/>
      <c r="N8" s="307"/>
      <c r="O8" s="307"/>
      <c r="P8" s="307"/>
      <c r="Q8" s="307"/>
      <c r="R8" s="307"/>
      <c r="S8" s="307"/>
      <c r="T8" s="307"/>
      <c r="U8" s="307"/>
      <c r="V8" s="307"/>
      <c r="W8" s="307"/>
      <c r="X8" s="307"/>
      <c r="Y8" s="307"/>
      <c r="Z8" s="307"/>
      <c r="AA8" s="307"/>
      <c r="AB8" s="316"/>
      <c r="AC8" s="306"/>
      <c r="AD8" s="307"/>
      <c r="AE8" s="307"/>
      <c r="AF8" s="307"/>
      <c r="AG8" s="307"/>
      <c r="AH8" s="307"/>
      <c r="AI8" s="307"/>
      <c r="AJ8" s="307"/>
      <c r="AK8" s="307"/>
      <c r="AL8" s="307"/>
      <c r="AM8" s="307"/>
      <c r="AN8" s="307"/>
      <c r="AO8" s="307"/>
      <c r="AP8" s="317"/>
    </row>
    <row r="9" spans="1:42" s="36" customFormat="1" ht="12" customHeight="1" x14ac:dyDescent="0.2">
      <c r="A9" s="283"/>
      <c r="B9" s="289"/>
      <c r="C9" s="285"/>
      <c r="D9" s="453"/>
      <c r="E9" s="180">
        <f t="shared" si="9"/>
        <v>0</v>
      </c>
      <c r="F9" s="181" t="s">
        <v>102</v>
      </c>
      <c r="G9" s="312"/>
      <c r="H9" s="313"/>
      <c r="I9" s="313"/>
      <c r="J9" s="313"/>
      <c r="K9" s="313"/>
      <c r="L9" s="313"/>
      <c r="M9" s="313"/>
      <c r="N9" s="313"/>
      <c r="O9" s="313"/>
      <c r="P9" s="313"/>
      <c r="Q9" s="313"/>
      <c r="R9" s="313"/>
      <c r="S9" s="313"/>
      <c r="T9" s="313"/>
      <c r="U9" s="313"/>
      <c r="V9" s="313"/>
      <c r="W9" s="313"/>
      <c r="X9" s="313"/>
      <c r="Y9" s="313"/>
      <c r="Z9" s="313"/>
      <c r="AA9" s="313"/>
      <c r="AB9" s="314"/>
      <c r="AC9" s="312"/>
      <c r="AD9" s="313"/>
      <c r="AE9" s="313"/>
      <c r="AF9" s="313"/>
      <c r="AG9" s="313"/>
      <c r="AH9" s="313"/>
      <c r="AI9" s="313"/>
      <c r="AJ9" s="313"/>
      <c r="AK9" s="313"/>
      <c r="AL9" s="313"/>
      <c r="AM9" s="313"/>
      <c r="AN9" s="313"/>
      <c r="AO9" s="313"/>
      <c r="AP9" s="315"/>
    </row>
    <row r="10" spans="1:42" s="36" customFormat="1" ht="12" customHeight="1" x14ac:dyDescent="0.2">
      <c r="A10" s="286" t="s">
        <v>65</v>
      </c>
      <c r="B10" s="290"/>
      <c r="C10" s="288"/>
      <c r="D10" s="452">
        <f>SUM(E10:E11)</f>
        <v>0</v>
      </c>
      <c r="E10" s="182">
        <f t="shared" si="9"/>
        <v>0</v>
      </c>
      <c r="F10" s="183" t="s">
        <v>55</v>
      </c>
      <c r="G10" s="306"/>
      <c r="H10" s="307"/>
      <c r="I10" s="307"/>
      <c r="J10" s="307"/>
      <c r="K10" s="307"/>
      <c r="L10" s="307"/>
      <c r="M10" s="307"/>
      <c r="N10" s="307"/>
      <c r="O10" s="307"/>
      <c r="P10" s="307"/>
      <c r="Q10" s="307"/>
      <c r="R10" s="307"/>
      <c r="S10" s="307"/>
      <c r="T10" s="307"/>
      <c r="U10" s="307"/>
      <c r="V10" s="307"/>
      <c r="W10" s="307"/>
      <c r="X10" s="307"/>
      <c r="Y10" s="307"/>
      <c r="Z10" s="307"/>
      <c r="AA10" s="307"/>
      <c r="AB10" s="316"/>
      <c r="AC10" s="306"/>
      <c r="AD10" s="307"/>
      <c r="AE10" s="307"/>
      <c r="AF10" s="307"/>
      <c r="AG10" s="307"/>
      <c r="AH10" s="307"/>
      <c r="AI10" s="307"/>
      <c r="AJ10" s="307"/>
      <c r="AK10" s="307"/>
      <c r="AL10" s="307"/>
      <c r="AM10" s="307"/>
      <c r="AN10" s="307"/>
      <c r="AO10" s="307"/>
      <c r="AP10" s="317"/>
    </row>
    <row r="11" spans="1:42" s="36" customFormat="1" ht="12" customHeight="1" x14ac:dyDescent="0.2">
      <c r="A11" s="283"/>
      <c r="B11" s="289"/>
      <c r="C11" s="285"/>
      <c r="D11" s="453"/>
      <c r="E11" s="180">
        <f t="shared" si="9"/>
        <v>0</v>
      </c>
      <c r="F11" s="181" t="s">
        <v>102</v>
      </c>
      <c r="G11" s="312"/>
      <c r="H11" s="313"/>
      <c r="I11" s="313"/>
      <c r="J11" s="313"/>
      <c r="K11" s="313"/>
      <c r="L11" s="313"/>
      <c r="M11" s="313"/>
      <c r="N11" s="313"/>
      <c r="O11" s="313"/>
      <c r="P11" s="313"/>
      <c r="Q11" s="313"/>
      <c r="R11" s="313"/>
      <c r="S11" s="313"/>
      <c r="T11" s="313"/>
      <c r="U11" s="313"/>
      <c r="V11" s="313"/>
      <c r="W11" s="313"/>
      <c r="X11" s="313"/>
      <c r="Y11" s="313"/>
      <c r="Z11" s="313"/>
      <c r="AA11" s="313"/>
      <c r="AB11" s="314"/>
      <c r="AC11" s="312"/>
      <c r="AD11" s="313"/>
      <c r="AE11" s="313"/>
      <c r="AF11" s="313"/>
      <c r="AG11" s="313"/>
      <c r="AH11" s="313"/>
      <c r="AI11" s="313"/>
      <c r="AJ11" s="313"/>
      <c r="AK11" s="313"/>
      <c r="AL11" s="313"/>
      <c r="AM11" s="313"/>
      <c r="AN11" s="313"/>
      <c r="AO11" s="313"/>
      <c r="AP11" s="315"/>
    </row>
    <row r="12" spans="1:42" s="36" customFormat="1" ht="12" customHeight="1" x14ac:dyDescent="0.2">
      <c r="A12" s="286" t="s">
        <v>66</v>
      </c>
      <c r="B12" s="290"/>
      <c r="C12" s="288"/>
      <c r="D12" s="452">
        <f>SUM(E12:E13)</f>
        <v>0</v>
      </c>
      <c r="E12" s="182">
        <f t="shared" si="9"/>
        <v>0</v>
      </c>
      <c r="F12" s="183" t="s">
        <v>55</v>
      </c>
      <c r="G12" s="306"/>
      <c r="H12" s="307"/>
      <c r="I12" s="307"/>
      <c r="J12" s="307"/>
      <c r="K12" s="307"/>
      <c r="L12" s="307"/>
      <c r="M12" s="307"/>
      <c r="N12" s="307"/>
      <c r="O12" s="307"/>
      <c r="P12" s="307"/>
      <c r="Q12" s="307"/>
      <c r="R12" s="307"/>
      <c r="S12" s="307"/>
      <c r="T12" s="307"/>
      <c r="U12" s="307"/>
      <c r="V12" s="307"/>
      <c r="W12" s="307"/>
      <c r="X12" s="307"/>
      <c r="Y12" s="307"/>
      <c r="Z12" s="307"/>
      <c r="AA12" s="307"/>
      <c r="AB12" s="316"/>
      <c r="AC12" s="306"/>
      <c r="AD12" s="307"/>
      <c r="AE12" s="307"/>
      <c r="AF12" s="307"/>
      <c r="AG12" s="307"/>
      <c r="AH12" s="307"/>
      <c r="AI12" s="307"/>
      <c r="AJ12" s="307"/>
      <c r="AK12" s="307"/>
      <c r="AL12" s="307"/>
      <c r="AM12" s="307"/>
      <c r="AN12" s="307"/>
      <c r="AO12" s="307"/>
      <c r="AP12" s="317"/>
    </row>
    <row r="13" spans="1:42" s="36" customFormat="1" ht="12" customHeight="1" x14ac:dyDescent="0.2">
      <c r="A13" s="283"/>
      <c r="B13" s="289"/>
      <c r="C13" s="285"/>
      <c r="D13" s="453"/>
      <c r="E13" s="180">
        <f t="shared" si="9"/>
        <v>0</v>
      </c>
      <c r="F13" s="181" t="s">
        <v>102</v>
      </c>
      <c r="G13" s="312"/>
      <c r="H13" s="313"/>
      <c r="I13" s="313"/>
      <c r="J13" s="313"/>
      <c r="K13" s="313"/>
      <c r="L13" s="313"/>
      <c r="M13" s="313"/>
      <c r="N13" s="313"/>
      <c r="O13" s="313"/>
      <c r="P13" s="313"/>
      <c r="Q13" s="313"/>
      <c r="R13" s="313"/>
      <c r="S13" s="313"/>
      <c r="T13" s="313"/>
      <c r="U13" s="313"/>
      <c r="V13" s="313"/>
      <c r="W13" s="313"/>
      <c r="X13" s="313"/>
      <c r="Y13" s="313"/>
      <c r="Z13" s="313"/>
      <c r="AA13" s="313"/>
      <c r="AB13" s="314"/>
      <c r="AC13" s="312"/>
      <c r="AD13" s="313"/>
      <c r="AE13" s="313"/>
      <c r="AF13" s="313"/>
      <c r="AG13" s="313"/>
      <c r="AH13" s="313"/>
      <c r="AI13" s="313"/>
      <c r="AJ13" s="313"/>
      <c r="AK13" s="313"/>
      <c r="AL13" s="313"/>
      <c r="AM13" s="313"/>
      <c r="AN13" s="313"/>
      <c r="AO13" s="313"/>
      <c r="AP13" s="315"/>
    </row>
    <row r="14" spans="1:42" s="36" customFormat="1" ht="12" customHeight="1" x14ac:dyDescent="0.2">
      <c r="A14" s="286" t="s">
        <v>67</v>
      </c>
      <c r="B14" s="290"/>
      <c r="C14" s="288"/>
      <c r="D14" s="452">
        <f>SUM(E14:E15)</f>
        <v>0</v>
      </c>
      <c r="E14" s="182">
        <f t="shared" si="9"/>
        <v>0</v>
      </c>
      <c r="F14" s="183" t="s">
        <v>55</v>
      </c>
      <c r="G14" s="306"/>
      <c r="H14" s="307"/>
      <c r="I14" s="307"/>
      <c r="J14" s="307"/>
      <c r="K14" s="307"/>
      <c r="L14" s="307"/>
      <c r="M14" s="307"/>
      <c r="N14" s="307"/>
      <c r="O14" s="307"/>
      <c r="P14" s="307"/>
      <c r="Q14" s="307"/>
      <c r="R14" s="307"/>
      <c r="S14" s="307"/>
      <c r="T14" s="307"/>
      <c r="U14" s="307"/>
      <c r="V14" s="307"/>
      <c r="W14" s="307"/>
      <c r="X14" s="307"/>
      <c r="Y14" s="307"/>
      <c r="Z14" s="307"/>
      <c r="AA14" s="307"/>
      <c r="AB14" s="316"/>
      <c r="AC14" s="306"/>
      <c r="AD14" s="307"/>
      <c r="AE14" s="307"/>
      <c r="AF14" s="307"/>
      <c r="AG14" s="307"/>
      <c r="AH14" s="307"/>
      <c r="AI14" s="307"/>
      <c r="AJ14" s="307"/>
      <c r="AK14" s="307"/>
      <c r="AL14" s="307"/>
      <c r="AM14" s="307"/>
      <c r="AN14" s="307"/>
      <c r="AO14" s="307"/>
      <c r="AP14" s="317"/>
    </row>
    <row r="15" spans="1:42" s="36" customFormat="1" ht="12" customHeight="1" x14ac:dyDescent="0.2">
      <c r="A15" s="283"/>
      <c r="B15" s="289"/>
      <c r="C15" s="285"/>
      <c r="D15" s="453"/>
      <c r="E15" s="180">
        <f t="shared" si="9"/>
        <v>0</v>
      </c>
      <c r="F15" s="181" t="s">
        <v>102</v>
      </c>
      <c r="G15" s="312"/>
      <c r="H15" s="313"/>
      <c r="I15" s="313"/>
      <c r="J15" s="313"/>
      <c r="K15" s="313"/>
      <c r="L15" s="313"/>
      <c r="M15" s="313"/>
      <c r="N15" s="313"/>
      <c r="O15" s="313"/>
      <c r="P15" s="313"/>
      <c r="Q15" s="313"/>
      <c r="R15" s="313"/>
      <c r="S15" s="313"/>
      <c r="T15" s="313"/>
      <c r="U15" s="313"/>
      <c r="V15" s="313"/>
      <c r="W15" s="313"/>
      <c r="X15" s="313"/>
      <c r="Y15" s="313"/>
      <c r="Z15" s="313"/>
      <c r="AA15" s="313"/>
      <c r="AB15" s="314"/>
      <c r="AC15" s="312"/>
      <c r="AD15" s="313"/>
      <c r="AE15" s="313"/>
      <c r="AF15" s="313"/>
      <c r="AG15" s="313"/>
      <c r="AH15" s="313"/>
      <c r="AI15" s="313"/>
      <c r="AJ15" s="313"/>
      <c r="AK15" s="313"/>
      <c r="AL15" s="313"/>
      <c r="AM15" s="313"/>
      <c r="AN15" s="313"/>
      <c r="AO15" s="313"/>
      <c r="AP15" s="315"/>
    </row>
    <row r="16" spans="1:42" s="36" customFormat="1" ht="12" customHeight="1" x14ac:dyDescent="0.2">
      <c r="A16" s="286" t="s">
        <v>68</v>
      </c>
      <c r="B16" s="290"/>
      <c r="C16" s="288"/>
      <c r="D16" s="452">
        <f>SUM(E16:E17)</f>
        <v>0</v>
      </c>
      <c r="E16" s="182">
        <f t="shared" si="9"/>
        <v>0</v>
      </c>
      <c r="F16" s="183" t="s">
        <v>55</v>
      </c>
      <c r="G16" s="306"/>
      <c r="H16" s="307"/>
      <c r="I16" s="307"/>
      <c r="J16" s="307"/>
      <c r="K16" s="307"/>
      <c r="L16" s="307"/>
      <c r="M16" s="307"/>
      <c r="N16" s="307"/>
      <c r="O16" s="307"/>
      <c r="P16" s="307"/>
      <c r="Q16" s="307"/>
      <c r="R16" s="307"/>
      <c r="S16" s="307"/>
      <c r="T16" s="307"/>
      <c r="U16" s="307"/>
      <c r="V16" s="307"/>
      <c r="W16" s="307"/>
      <c r="X16" s="307"/>
      <c r="Y16" s="307"/>
      <c r="Z16" s="307"/>
      <c r="AA16" s="307"/>
      <c r="AB16" s="316"/>
      <c r="AC16" s="306"/>
      <c r="AD16" s="307"/>
      <c r="AE16" s="307"/>
      <c r="AF16" s="307"/>
      <c r="AG16" s="307"/>
      <c r="AH16" s="307"/>
      <c r="AI16" s="307"/>
      <c r="AJ16" s="307"/>
      <c r="AK16" s="307"/>
      <c r="AL16" s="307"/>
      <c r="AM16" s="307"/>
      <c r="AN16" s="307"/>
      <c r="AO16" s="307"/>
      <c r="AP16" s="317"/>
    </row>
    <row r="17" spans="1:42" s="36" customFormat="1" ht="12" customHeight="1" x14ac:dyDescent="0.2">
      <c r="A17" s="283"/>
      <c r="B17" s="289"/>
      <c r="C17" s="285"/>
      <c r="D17" s="453"/>
      <c r="E17" s="180">
        <f t="shared" si="9"/>
        <v>0</v>
      </c>
      <c r="F17" s="181" t="s">
        <v>102</v>
      </c>
      <c r="G17" s="312"/>
      <c r="H17" s="313"/>
      <c r="I17" s="313"/>
      <c r="J17" s="313"/>
      <c r="K17" s="313"/>
      <c r="L17" s="313"/>
      <c r="M17" s="313"/>
      <c r="N17" s="313"/>
      <c r="O17" s="313"/>
      <c r="P17" s="313"/>
      <c r="Q17" s="313"/>
      <c r="R17" s="313"/>
      <c r="S17" s="313"/>
      <c r="T17" s="313"/>
      <c r="U17" s="313"/>
      <c r="V17" s="313"/>
      <c r="W17" s="313"/>
      <c r="X17" s="313"/>
      <c r="Y17" s="313"/>
      <c r="Z17" s="313"/>
      <c r="AA17" s="313"/>
      <c r="AB17" s="314"/>
      <c r="AC17" s="312"/>
      <c r="AD17" s="313"/>
      <c r="AE17" s="313"/>
      <c r="AF17" s="313"/>
      <c r="AG17" s="313"/>
      <c r="AH17" s="313"/>
      <c r="AI17" s="313"/>
      <c r="AJ17" s="313"/>
      <c r="AK17" s="313"/>
      <c r="AL17" s="313"/>
      <c r="AM17" s="313"/>
      <c r="AN17" s="313"/>
      <c r="AO17" s="313"/>
      <c r="AP17" s="315"/>
    </row>
    <row r="18" spans="1:42" s="36" customFormat="1" ht="12" customHeight="1" x14ac:dyDescent="0.2">
      <c r="A18" s="286" t="s">
        <v>69</v>
      </c>
      <c r="B18" s="290"/>
      <c r="C18" s="288"/>
      <c r="D18" s="452">
        <f>SUM(E18:E19)</f>
        <v>0</v>
      </c>
      <c r="E18" s="182">
        <f t="shared" si="9"/>
        <v>0</v>
      </c>
      <c r="F18" s="183" t="s">
        <v>55</v>
      </c>
      <c r="G18" s="306"/>
      <c r="H18" s="307"/>
      <c r="I18" s="307"/>
      <c r="J18" s="307"/>
      <c r="K18" s="307"/>
      <c r="L18" s="307"/>
      <c r="M18" s="307"/>
      <c r="N18" s="307"/>
      <c r="O18" s="307"/>
      <c r="P18" s="307"/>
      <c r="Q18" s="307"/>
      <c r="R18" s="307"/>
      <c r="S18" s="307"/>
      <c r="T18" s="307"/>
      <c r="U18" s="307"/>
      <c r="V18" s="307"/>
      <c r="W18" s="307"/>
      <c r="X18" s="307"/>
      <c r="Y18" s="307"/>
      <c r="Z18" s="307"/>
      <c r="AA18" s="307"/>
      <c r="AB18" s="316"/>
      <c r="AC18" s="306"/>
      <c r="AD18" s="307"/>
      <c r="AE18" s="307"/>
      <c r="AF18" s="307"/>
      <c r="AG18" s="307"/>
      <c r="AH18" s="307"/>
      <c r="AI18" s="307"/>
      <c r="AJ18" s="307"/>
      <c r="AK18" s="307"/>
      <c r="AL18" s="307"/>
      <c r="AM18" s="307"/>
      <c r="AN18" s="307"/>
      <c r="AO18" s="307"/>
      <c r="AP18" s="317"/>
    </row>
    <row r="19" spans="1:42" s="36" customFormat="1" ht="12" customHeight="1" x14ac:dyDescent="0.2">
      <c r="A19" s="283"/>
      <c r="B19" s="289"/>
      <c r="C19" s="285"/>
      <c r="D19" s="453"/>
      <c r="E19" s="180">
        <f t="shared" si="9"/>
        <v>0</v>
      </c>
      <c r="F19" s="181" t="s">
        <v>102</v>
      </c>
      <c r="G19" s="312"/>
      <c r="H19" s="313"/>
      <c r="I19" s="313"/>
      <c r="J19" s="313"/>
      <c r="K19" s="313"/>
      <c r="L19" s="313"/>
      <c r="M19" s="313"/>
      <c r="N19" s="313"/>
      <c r="O19" s="313"/>
      <c r="P19" s="313"/>
      <c r="Q19" s="313"/>
      <c r="R19" s="313"/>
      <c r="S19" s="313"/>
      <c r="T19" s="313"/>
      <c r="U19" s="313"/>
      <c r="V19" s="313"/>
      <c r="W19" s="313"/>
      <c r="X19" s="313"/>
      <c r="Y19" s="313"/>
      <c r="Z19" s="313"/>
      <c r="AA19" s="313"/>
      <c r="AB19" s="314"/>
      <c r="AC19" s="312"/>
      <c r="AD19" s="313"/>
      <c r="AE19" s="313"/>
      <c r="AF19" s="313"/>
      <c r="AG19" s="313"/>
      <c r="AH19" s="313"/>
      <c r="AI19" s="313"/>
      <c r="AJ19" s="313"/>
      <c r="AK19" s="313"/>
      <c r="AL19" s="313"/>
      <c r="AM19" s="313"/>
      <c r="AN19" s="313"/>
      <c r="AO19" s="313"/>
      <c r="AP19" s="315"/>
    </row>
    <row r="20" spans="1:42" s="36" customFormat="1" ht="12" customHeight="1" x14ac:dyDescent="0.2">
      <c r="A20" s="286" t="s">
        <v>61</v>
      </c>
      <c r="B20" s="290"/>
      <c r="C20" s="288"/>
      <c r="D20" s="452">
        <f>SUM(E20:E21)</f>
        <v>0</v>
      </c>
      <c r="E20" s="182">
        <f t="shared" si="9"/>
        <v>0</v>
      </c>
      <c r="F20" s="183" t="s">
        <v>55</v>
      </c>
      <c r="G20" s="306"/>
      <c r="H20" s="307"/>
      <c r="I20" s="307"/>
      <c r="J20" s="307"/>
      <c r="K20" s="307"/>
      <c r="L20" s="307"/>
      <c r="M20" s="307"/>
      <c r="N20" s="307"/>
      <c r="O20" s="307"/>
      <c r="P20" s="307"/>
      <c r="Q20" s="307"/>
      <c r="R20" s="307"/>
      <c r="S20" s="307"/>
      <c r="T20" s="307"/>
      <c r="U20" s="307"/>
      <c r="V20" s="307"/>
      <c r="W20" s="307"/>
      <c r="X20" s="307"/>
      <c r="Y20" s="307"/>
      <c r="Z20" s="307"/>
      <c r="AA20" s="307"/>
      <c r="AB20" s="316"/>
      <c r="AC20" s="306"/>
      <c r="AD20" s="307"/>
      <c r="AE20" s="307"/>
      <c r="AF20" s="307"/>
      <c r="AG20" s="307"/>
      <c r="AH20" s="307"/>
      <c r="AI20" s="307"/>
      <c r="AJ20" s="307"/>
      <c r="AK20" s="307"/>
      <c r="AL20" s="307"/>
      <c r="AM20" s="307"/>
      <c r="AN20" s="307"/>
      <c r="AO20" s="307"/>
      <c r="AP20" s="317"/>
    </row>
    <row r="21" spans="1:42" s="36" customFormat="1" ht="12" customHeight="1" x14ac:dyDescent="0.2">
      <c r="A21" s="283"/>
      <c r="B21" s="289"/>
      <c r="C21" s="285"/>
      <c r="D21" s="453"/>
      <c r="E21" s="180">
        <f t="shared" si="9"/>
        <v>0</v>
      </c>
      <c r="F21" s="181" t="s">
        <v>102</v>
      </c>
      <c r="G21" s="312"/>
      <c r="H21" s="313"/>
      <c r="I21" s="313"/>
      <c r="J21" s="313"/>
      <c r="K21" s="313"/>
      <c r="L21" s="313"/>
      <c r="M21" s="313"/>
      <c r="N21" s="313"/>
      <c r="O21" s="313"/>
      <c r="P21" s="313"/>
      <c r="Q21" s="313"/>
      <c r="R21" s="313"/>
      <c r="S21" s="313"/>
      <c r="T21" s="313"/>
      <c r="U21" s="313"/>
      <c r="V21" s="313"/>
      <c r="W21" s="313"/>
      <c r="X21" s="313"/>
      <c r="Y21" s="313"/>
      <c r="Z21" s="313"/>
      <c r="AA21" s="313"/>
      <c r="AB21" s="314"/>
      <c r="AC21" s="312"/>
      <c r="AD21" s="313"/>
      <c r="AE21" s="313"/>
      <c r="AF21" s="313"/>
      <c r="AG21" s="313"/>
      <c r="AH21" s="313"/>
      <c r="AI21" s="313"/>
      <c r="AJ21" s="313"/>
      <c r="AK21" s="313"/>
      <c r="AL21" s="313"/>
      <c r="AM21" s="313"/>
      <c r="AN21" s="313"/>
      <c r="AO21" s="313"/>
      <c r="AP21" s="315"/>
    </row>
    <row r="22" spans="1:42" s="36" customFormat="1" ht="12" customHeight="1" x14ac:dyDescent="0.2">
      <c r="A22" s="286" t="s">
        <v>62</v>
      </c>
      <c r="B22" s="290"/>
      <c r="C22" s="288"/>
      <c r="D22" s="452">
        <f>SUM(E22:E23)</f>
        <v>0</v>
      </c>
      <c r="E22" s="182">
        <f t="shared" si="9"/>
        <v>0</v>
      </c>
      <c r="F22" s="183" t="s">
        <v>55</v>
      </c>
      <c r="G22" s="306"/>
      <c r="H22" s="307"/>
      <c r="I22" s="307"/>
      <c r="J22" s="307"/>
      <c r="K22" s="307"/>
      <c r="L22" s="307"/>
      <c r="M22" s="307"/>
      <c r="N22" s="307"/>
      <c r="O22" s="307"/>
      <c r="P22" s="307"/>
      <c r="Q22" s="307"/>
      <c r="R22" s="307"/>
      <c r="S22" s="307"/>
      <c r="T22" s="307"/>
      <c r="U22" s="307"/>
      <c r="V22" s="307"/>
      <c r="W22" s="307"/>
      <c r="X22" s="307"/>
      <c r="Y22" s="307"/>
      <c r="Z22" s="307"/>
      <c r="AA22" s="307"/>
      <c r="AB22" s="316"/>
      <c r="AC22" s="306"/>
      <c r="AD22" s="307"/>
      <c r="AE22" s="307"/>
      <c r="AF22" s="307"/>
      <c r="AG22" s="307"/>
      <c r="AH22" s="307"/>
      <c r="AI22" s="307"/>
      <c r="AJ22" s="307"/>
      <c r="AK22" s="307"/>
      <c r="AL22" s="307"/>
      <c r="AM22" s="307"/>
      <c r="AN22" s="307"/>
      <c r="AO22" s="307"/>
      <c r="AP22" s="317"/>
    </row>
    <row r="23" spans="1:42" s="36" customFormat="1" ht="12" customHeight="1" x14ac:dyDescent="0.2">
      <c r="A23" s="283"/>
      <c r="B23" s="289"/>
      <c r="C23" s="285"/>
      <c r="D23" s="453"/>
      <c r="E23" s="180">
        <f t="shared" si="9"/>
        <v>0</v>
      </c>
      <c r="F23" s="181" t="s">
        <v>102</v>
      </c>
      <c r="G23" s="312"/>
      <c r="H23" s="313"/>
      <c r="I23" s="313"/>
      <c r="J23" s="313"/>
      <c r="K23" s="313"/>
      <c r="L23" s="313"/>
      <c r="M23" s="313"/>
      <c r="N23" s="313"/>
      <c r="O23" s="313"/>
      <c r="P23" s="313"/>
      <c r="Q23" s="313"/>
      <c r="R23" s="313"/>
      <c r="S23" s="313"/>
      <c r="T23" s="313"/>
      <c r="U23" s="313"/>
      <c r="V23" s="313"/>
      <c r="W23" s="313"/>
      <c r="X23" s="313"/>
      <c r="Y23" s="313"/>
      <c r="Z23" s="313"/>
      <c r="AA23" s="313"/>
      <c r="AB23" s="314"/>
      <c r="AC23" s="312"/>
      <c r="AD23" s="313"/>
      <c r="AE23" s="313"/>
      <c r="AF23" s="313"/>
      <c r="AG23" s="313"/>
      <c r="AH23" s="313"/>
      <c r="AI23" s="313"/>
      <c r="AJ23" s="313"/>
      <c r="AK23" s="313"/>
      <c r="AL23" s="313"/>
      <c r="AM23" s="313"/>
      <c r="AN23" s="313"/>
      <c r="AO23" s="313"/>
      <c r="AP23" s="315"/>
    </row>
    <row r="24" spans="1:42" s="36" customFormat="1" ht="12" x14ac:dyDescent="0.2">
      <c r="A24" s="281" t="s">
        <v>94</v>
      </c>
      <c r="B24" s="281"/>
      <c r="C24" s="282"/>
      <c r="D24" s="455">
        <f>SUM(E24:E25)</f>
        <v>0</v>
      </c>
      <c r="E24" s="178">
        <f t="shared" si="9"/>
        <v>0</v>
      </c>
      <c r="F24" s="183" t="s">
        <v>55</v>
      </c>
      <c r="G24" s="310"/>
      <c r="H24" s="308"/>
      <c r="I24" s="308"/>
      <c r="J24" s="308"/>
      <c r="K24" s="308"/>
      <c r="L24" s="308"/>
      <c r="M24" s="308"/>
      <c r="N24" s="308"/>
      <c r="O24" s="308"/>
      <c r="P24" s="308"/>
      <c r="Q24" s="308"/>
      <c r="R24" s="308"/>
      <c r="S24" s="308"/>
      <c r="T24" s="308"/>
      <c r="U24" s="308"/>
      <c r="V24" s="308"/>
      <c r="W24" s="308"/>
      <c r="X24" s="308"/>
      <c r="Y24" s="308"/>
      <c r="Z24" s="308"/>
      <c r="AA24" s="308"/>
      <c r="AB24" s="309"/>
      <c r="AC24" s="310"/>
      <c r="AD24" s="308"/>
      <c r="AE24" s="308"/>
      <c r="AF24" s="308"/>
      <c r="AG24" s="308"/>
      <c r="AH24" s="308"/>
      <c r="AI24" s="308"/>
      <c r="AJ24" s="308"/>
      <c r="AK24" s="308"/>
      <c r="AL24" s="308"/>
      <c r="AM24" s="308"/>
      <c r="AN24" s="308"/>
      <c r="AO24" s="308"/>
      <c r="AP24" s="311"/>
    </row>
    <row r="25" spans="1:42" s="36" customFormat="1" ht="12" customHeight="1" thickBot="1" x14ac:dyDescent="0.25">
      <c r="A25" s="291"/>
      <c r="B25" s="291"/>
      <c r="C25" s="292"/>
      <c r="D25" s="453"/>
      <c r="E25" s="207">
        <f t="shared" si="9"/>
        <v>0</v>
      </c>
      <c r="F25" s="166" t="s">
        <v>102</v>
      </c>
      <c r="G25" s="318"/>
      <c r="H25" s="319"/>
      <c r="I25" s="319"/>
      <c r="J25" s="319"/>
      <c r="K25" s="319"/>
      <c r="L25" s="319"/>
      <c r="M25" s="319"/>
      <c r="N25" s="319"/>
      <c r="O25" s="319"/>
      <c r="P25" s="319"/>
      <c r="Q25" s="319"/>
      <c r="R25" s="319"/>
      <c r="S25" s="319"/>
      <c r="T25" s="319"/>
      <c r="U25" s="319"/>
      <c r="V25" s="319"/>
      <c r="W25" s="319"/>
      <c r="X25" s="319"/>
      <c r="Y25" s="319"/>
      <c r="Z25" s="319"/>
      <c r="AA25" s="319"/>
      <c r="AB25" s="320"/>
      <c r="AC25" s="318"/>
      <c r="AD25" s="319"/>
      <c r="AE25" s="319"/>
      <c r="AF25" s="319"/>
      <c r="AG25" s="319"/>
      <c r="AH25" s="319"/>
      <c r="AI25" s="319"/>
      <c r="AJ25" s="319"/>
      <c r="AK25" s="319"/>
      <c r="AL25" s="319"/>
      <c r="AM25" s="319"/>
      <c r="AN25" s="319"/>
      <c r="AO25" s="319"/>
      <c r="AP25" s="321"/>
    </row>
    <row r="26" spans="1:42" s="35" customFormat="1" ht="12" customHeight="1" x14ac:dyDescent="0.2">
      <c r="A26" s="184" t="s">
        <v>32</v>
      </c>
      <c r="B26" s="170"/>
      <c r="C26" s="171"/>
      <c r="D26" s="461">
        <f>SUM(E26:E27)</f>
        <v>0</v>
      </c>
      <c r="E26" s="185">
        <f>SUMIF($F$28:$F$35, "Forecast",E28:E35)</f>
        <v>0</v>
      </c>
      <c r="F26" s="163" t="s">
        <v>55</v>
      </c>
      <c r="G26" s="172">
        <f>SUMIF($F$28:$F$35, "Forecast",G28:G35)</f>
        <v>0</v>
      </c>
      <c r="H26" s="173">
        <f t="shared" ref="H26:R26" si="10">SUMIF($F$28:$F$35, "Forecast",H28:H35)</f>
        <v>0</v>
      </c>
      <c r="I26" s="173">
        <f t="shared" si="10"/>
        <v>0</v>
      </c>
      <c r="J26" s="173">
        <f t="shared" si="10"/>
        <v>0</v>
      </c>
      <c r="K26" s="173">
        <f t="shared" si="10"/>
        <v>0</v>
      </c>
      <c r="L26" s="173">
        <f t="shared" si="10"/>
        <v>0</v>
      </c>
      <c r="M26" s="173">
        <f t="shared" si="10"/>
        <v>0</v>
      </c>
      <c r="N26" s="173">
        <f t="shared" si="10"/>
        <v>0</v>
      </c>
      <c r="O26" s="173">
        <f t="shared" si="10"/>
        <v>0</v>
      </c>
      <c r="P26" s="173">
        <f t="shared" si="10"/>
        <v>0</v>
      </c>
      <c r="Q26" s="173">
        <f t="shared" si="10"/>
        <v>0</v>
      </c>
      <c r="R26" s="173">
        <f t="shared" si="10"/>
        <v>0</v>
      </c>
      <c r="S26" s="173">
        <f t="shared" ref="S26:AP26" si="11">SUMIF($F$28:$F$35, "Forecast",S28:S35)</f>
        <v>0</v>
      </c>
      <c r="T26" s="173">
        <f t="shared" si="11"/>
        <v>0</v>
      </c>
      <c r="U26" s="173">
        <f t="shared" si="11"/>
        <v>0</v>
      </c>
      <c r="V26" s="173">
        <f t="shared" si="11"/>
        <v>0</v>
      </c>
      <c r="W26" s="173">
        <f t="shared" si="11"/>
        <v>0</v>
      </c>
      <c r="X26" s="173">
        <f t="shared" si="11"/>
        <v>0</v>
      </c>
      <c r="Y26" s="173">
        <f t="shared" si="11"/>
        <v>0</v>
      </c>
      <c r="Z26" s="173">
        <f t="shared" si="11"/>
        <v>0</v>
      </c>
      <c r="AA26" s="173">
        <f t="shared" si="11"/>
        <v>0</v>
      </c>
      <c r="AB26" s="197">
        <f t="shared" si="11"/>
        <v>0</v>
      </c>
      <c r="AC26" s="172">
        <f t="shared" si="11"/>
        <v>0</v>
      </c>
      <c r="AD26" s="173">
        <f t="shared" si="11"/>
        <v>0</v>
      </c>
      <c r="AE26" s="173">
        <f t="shared" si="11"/>
        <v>0</v>
      </c>
      <c r="AF26" s="173">
        <f t="shared" si="11"/>
        <v>0</v>
      </c>
      <c r="AG26" s="173">
        <f t="shared" si="11"/>
        <v>0</v>
      </c>
      <c r="AH26" s="173">
        <f t="shared" si="11"/>
        <v>0</v>
      </c>
      <c r="AI26" s="173">
        <f t="shared" si="11"/>
        <v>0</v>
      </c>
      <c r="AJ26" s="173">
        <f t="shared" si="11"/>
        <v>0</v>
      </c>
      <c r="AK26" s="173">
        <f t="shared" si="11"/>
        <v>0</v>
      </c>
      <c r="AL26" s="173">
        <f t="shared" si="11"/>
        <v>0</v>
      </c>
      <c r="AM26" s="173">
        <f t="shared" si="11"/>
        <v>0</v>
      </c>
      <c r="AN26" s="173">
        <f t="shared" si="11"/>
        <v>0</v>
      </c>
      <c r="AO26" s="173">
        <f t="shared" si="11"/>
        <v>0</v>
      </c>
      <c r="AP26" s="201">
        <f t="shared" si="11"/>
        <v>0</v>
      </c>
    </row>
    <row r="27" spans="1:42" s="35" customFormat="1" ht="12" customHeight="1" thickBot="1" x14ac:dyDescent="0.25">
      <c r="A27" s="174"/>
      <c r="B27" s="175"/>
      <c r="C27" s="176"/>
      <c r="D27" s="462"/>
      <c r="E27" s="186">
        <f>SUMIF($F$28:$F$35,"Actual",E28:E35)</f>
        <v>0</v>
      </c>
      <c r="F27" s="166" t="s">
        <v>102</v>
      </c>
      <c r="G27" s="187">
        <f t="shared" ref="G27:R27" si="12">SUMIF($F$28:$F$35,"Actual",G28:G35)</f>
        <v>0</v>
      </c>
      <c r="H27" s="177">
        <f t="shared" si="12"/>
        <v>0</v>
      </c>
      <c r="I27" s="177">
        <f t="shared" si="12"/>
        <v>0</v>
      </c>
      <c r="J27" s="177">
        <f t="shared" si="12"/>
        <v>0</v>
      </c>
      <c r="K27" s="177">
        <f t="shared" si="12"/>
        <v>0</v>
      </c>
      <c r="L27" s="177">
        <f t="shared" si="12"/>
        <v>0</v>
      </c>
      <c r="M27" s="177">
        <f t="shared" si="12"/>
        <v>0</v>
      </c>
      <c r="N27" s="177">
        <f t="shared" si="12"/>
        <v>0</v>
      </c>
      <c r="O27" s="177">
        <f t="shared" si="12"/>
        <v>0</v>
      </c>
      <c r="P27" s="177">
        <f t="shared" si="12"/>
        <v>0</v>
      </c>
      <c r="Q27" s="177">
        <f t="shared" si="12"/>
        <v>0</v>
      </c>
      <c r="R27" s="177">
        <f t="shared" si="12"/>
        <v>0</v>
      </c>
      <c r="S27" s="177">
        <f t="shared" ref="S27:AP27" si="13">SUMIF($F$28:$F$35,"Actual",S28:S35)</f>
        <v>0</v>
      </c>
      <c r="T27" s="177">
        <f t="shared" si="13"/>
        <v>0</v>
      </c>
      <c r="U27" s="177">
        <f t="shared" si="13"/>
        <v>0</v>
      </c>
      <c r="V27" s="177">
        <f t="shared" si="13"/>
        <v>0</v>
      </c>
      <c r="W27" s="177">
        <f t="shared" si="13"/>
        <v>0</v>
      </c>
      <c r="X27" s="177">
        <f t="shared" si="13"/>
        <v>0</v>
      </c>
      <c r="Y27" s="177">
        <f t="shared" si="13"/>
        <v>0</v>
      </c>
      <c r="Z27" s="177">
        <f t="shared" si="13"/>
        <v>0</v>
      </c>
      <c r="AA27" s="177">
        <f t="shared" si="13"/>
        <v>0</v>
      </c>
      <c r="AB27" s="198">
        <f t="shared" si="13"/>
        <v>0</v>
      </c>
      <c r="AC27" s="187">
        <f t="shared" si="13"/>
        <v>0</v>
      </c>
      <c r="AD27" s="177">
        <f t="shared" si="13"/>
        <v>0</v>
      </c>
      <c r="AE27" s="177">
        <f t="shared" si="13"/>
        <v>0</v>
      </c>
      <c r="AF27" s="177">
        <f t="shared" si="13"/>
        <v>0</v>
      </c>
      <c r="AG27" s="177">
        <f t="shared" si="13"/>
        <v>0</v>
      </c>
      <c r="AH27" s="177">
        <f t="shared" si="13"/>
        <v>0</v>
      </c>
      <c r="AI27" s="177">
        <f t="shared" si="13"/>
        <v>0</v>
      </c>
      <c r="AJ27" s="177">
        <f t="shared" si="13"/>
        <v>0</v>
      </c>
      <c r="AK27" s="177">
        <f t="shared" si="13"/>
        <v>0</v>
      </c>
      <c r="AL27" s="177">
        <f t="shared" si="13"/>
        <v>0</v>
      </c>
      <c r="AM27" s="177">
        <f t="shared" si="13"/>
        <v>0</v>
      </c>
      <c r="AN27" s="177">
        <f t="shared" si="13"/>
        <v>0</v>
      </c>
      <c r="AO27" s="177">
        <f t="shared" si="13"/>
        <v>0</v>
      </c>
      <c r="AP27" s="202">
        <f t="shared" si="13"/>
        <v>0</v>
      </c>
    </row>
    <row r="28" spans="1:42" s="36" customFormat="1" ht="12" customHeight="1" x14ac:dyDescent="0.2">
      <c r="A28" s="280" t="s">
        <v>58</v>
      </c>
      <c r="B28" s="281"/>
      <c r="C28" s="282"/>
      <c r="D28" s="455">
        <f>SUM(E28:E29)</f>
        <v>0</v>
      </c>
      <c r="E28" s="178">
        <f t="shared" ref="E28:E35" si="14">SUM(G28:AP28)</f>
        <v>0</v>
      </c>
      <c r="F28" s="179" t="s">
        <v>55</v>
      </c>
      <c r="G28" s="310"/>
      <c r="H28" s="308"/>
      <c r="I28" s="308"/>
      <c r="J28" s="308"/>
      <c r="K28" s="308"/>
      <c r="L28" s="308"/>
      <c r="M28" s="308"/>
      <c r="N28" s="308"/>
      <c r="O28" s="308"/>
      <c r="P28" s="308"/>
      <c r="Q28" s="308"/>
      <c r="R28" s="308"/>
      <c r="S28" s="308"/>
      <c r="T28" s="308"/>
      <c r="U28" s="308"/>
      <c r="V28" s="308"/>
      <c r="W28" s="308"/>
      <c r="X28" s="308"/>
      <c r="Y28" s="308"/>
      <c r="Z28" s="308"/>
      <c r="AA28" s="308"/>
      <c r="AB28" s="309"/>
      <c r="AC28" s="310"/>
      <c r="AD28" s="308"/>
      <c r="AE28" s="308"/>
      <c r="AF28" s="308"/>
      <c r="AG28" s="308"/>
      <c r="AH28" s="308"/>
      <c r="AI28" s="308"/>
      <c r="AJ28" s="308"/>
      <c r="AK28" s="308"/>
      <c r="AL28" s="308"/>
      <c r="AM28" s="308"/>
      <c r="AN28" s="308"/>
      <c r="AO28" s="308"/>
      <c r="AP28" s="311"/>
    </row>
    <row r="29" spans="1:42" s="36" customFormat="1" ht="12" customHeight="1" x14ac:dyDescent="0.2">
      <c r="A29" s="283"/>
      <c r="B29" s="289"/>
      <c r="C29" s="285"/>
      <c r="D29" s="453"/>
      <c r="E29" s="180">
        <f t="shared" si="14"/>
        <v>0</v>
      </c>
      <c r="F29" s="181" t="s">
        <v>102</v>
      </c>
      <c r="G29" s="312"/>
      <c r="H29" s="313"/>
      <c r="I29" s="313"/>
      <c r="J29" s="313"/>
      <c r="K29" s="313"/>
      <c r="L29" s="313"/>
      <c r="M29" s="313"/>
      <c r="N29" s="313"/>
      <c r="O29" s="313"/>
      <c r="P29" s="313"/>
      <c r="Q29" s="313"/>
      <c r="R29" s="313"/>
      <c r="S29" s="313"/>
      <c r="T29" s="313"/>
      <c r="U29" s="313"/>
      <c r="V29" s="313"/>
      <c r="W29" s="313"/>
      <c r="X29" s="313"/>
      <c r="Y29" s="313"/>
      <c r="Z29" s="313"/>
      <c r="AA29" s="313"/>
      <c r="AB29" s="314"/>
      <c r="AC29" s="312"/>
      <c r="AD29" s="313"/>
      <c r="AE29" s="313"/>
      <c r="AF29" s="313"/>
      <c r="AG29" s="313"/>
      <c r="AH29" s="313"/>
      <c r="AI29" s="313"/>
      <c r="AJ29" s="313"/>
      <c r="AK29" s="313"/>
      <c r="AL29" s="313"/>
      <c r="AM29" s="313"/>
      <c r="AN29" s="313"/>
      <c r="AO29" s="313"/>
      <c r="AP29" s="315"/>
    </row>
    <row r="30" spans="1:42" s="36" customFormat="1" ht="12" customHeight="1" x14ac:dyDescent="0.2">
      <c r="A30" s="286" t="s">
        <v>59</v>
      </c>
      <c r="B30" s="290"/>
      <c r="C30" s="288"/>
      <c r="D30" s="452">
        <f>SUM(E30:E31)</f>
        <v>0</v>
      </c>
      <c r="E30" s="182">
        <f t="shared" si="14"/>
        <v>0</v>
      </c>
      <c r="F30" s="183" t="s">
        <v>55</v>
      </c>
      <c r="G30" s="306"/>
      <c r="H30" s="307"/>
      <c r="I30" s="307"/>
      <c r="J30" s="307"/>
      <c r="K30" s="307"/>
      <c r="L30" s="307"/>
      <c r="M30" s="307"/>
      <c r="N30" s="307"/>
      <c r="O30" s="307"/>
      <c r="P30" s="307"/>
      <c r="Q30" s="307"/>
      <c r="R30" s="307"/>
      <c r="S30" s="307"/>
      <c r="T30" s="307"/>
      <c r="U30" s="307"/>
      <c r="V30" s="307"/>
      <c r="W30" s="307"/>
      <c r="X30" s="307"/>
      <c r="Y30" s="307"/>
      <c r="Z30" s="307"/>
      <c r="AA30" s="307"/>
      <c r="AB30" s="316"/>
      <c r="AC30" s="306"/>
      <c r="AD30" s="307"/>
      <c r="AE30" s="307"/>
      <c r="AF30" s="307"/>
      <c r="AG30" s="307"/>
      <c r="AH30" s="307"/>
      <c r="AI30" s="307"/>
      <c r="AJ30" s="307"/>
      <c r="AK30" s="307"/>
      <c r="AL30" s="307"/>
      <c r="AM30" s="307"/>
      <c r="AN30" s="307"/>
      <c r="AO30" s="307"/>
      <c r="AP30" s="317"/>
    </row>
    <row r="31" spans="1:42" s="36" customFormat="1" ht="12" customHeight="1" x14ac:dyDescent="0.2">
      <c r="A31" s="283"/>
      <c r="B31" s="289"/>
      <c r="C31" s="285"/>
      <c r="D31" s="453"/>
      <c r="E31" s="180">
        <f t="shared" si="14"/>
        <v>0</v>
      </c>
      <c r="F31" s="181" t="s">
        <v>102</v>
      </c>
      <c r="G31" s="312"/>
      <c r="H31" s="313"/>
      <c r="I31" s="313"/>
      <c r="J31" s="313"/>
      <c r="K31" s="313"/>
      <c r="L31" s="313"/>
      <c r="M31" s="313"/>
      <c r="N31" s="313"/>
      <c r="O31" s="313"/>
      <c r="P31" s="313"/>
      <c r="Q31" s="313"/>
      <c r="R31" s="313"/>
      <c r="S31" s="313"/>
      <c r="T31" s="313"/>
      <c r="U31" s="313"/>
      <c r="V31" s="313"/>
      <c r="W31" s="313"/>
      <c r="X31" s="313"/>
      <c r="Y31" s="313"/>
      <c r="Z31" s="313"/>
      <c r="AA31" s="313"/>
      <c r="AB31" s="314"/>
      <c r="AC31" s="312"/>
      <c r="AD31" s="313"/>
      <c r="AE31" s="313"/>
      <c r="AF31" s="313"/>
      <c r="AG31" s="313"/>
      <c r="AH31" s="313"/>
      <c r="AI31" s="313"/>
      <c r="AJ31" s="313"/>
      <c r="AK31" s="313"/>
      <c r="AL31" s="313"/>
      <c r="AM31" s="313"/>
      <c r="AN31" s="313"/>
      <c r="AO31" s="313"/>
      <c r="AP31" s="315"/>
    </row>
    <row r="32" spans="1:42" s="36" customFormat="1" ht="12" customHeight="1" x14ac:dyDescent="0.2">
      <c r="A32" s="286" t="s">
        <v>60</v>
      </c>
      <c r="B32" s="290"/>
      <c r="C32" s="288"/>
      <c r="D32" s="452">
        <f>SUM(E32:E33)</f>
        <v>0</v>
      </c>
      <c r="E32" s="182">
        <f t="shared" si="14"/>
        <v>0</v>
      </c>
      <c r="F32" s="183" t="s">
        <v>55</v>
      </c>
      <c r="G32" s="306"/>
      <c r="H32" s="307"/>
      <c r="I32" s="307"/>
      <c r="J32" s="307"/>
      <c r="K32" s="307"/>
      <c r="L32" s="307"/>
      <c r="M32" s="307"/>
      <c r="N32" s="307"/>
      <c r="O32" s="307"/>
      <c r="P32" s="307"/>
      <c r="Q32" s="307"/>
      <c r="R32" s="307"/>
      <c r="S32" s="307"/>
      <c r="T32" s="307"/>
      <c r="U32" s="307"/>
      <c r="V32" s="307"/>
      <c r="W32" s="307"/>
      <c r="X32" s="307"/>
      <c r="Y32" s="307"/>
      <c r="Z32" s="307"/>
      <c r="AA32" s="307"/>
      <c r="AB32" s="316"/>
      <c r="AC32" s="306"/>
      <c r="AD32" s="307"/>
      <c r="AE32" s="307"/>
      <c r="AF32" s="307"/>
      <c r="AG32" s="307"/>
      <c r="AH32" s="307"/>
      <c r="AI32" s="307"/>
      <c r="AJ32" s="307"/>
      <c r="AK32" s="307"/>
      <c r="AL32" s="307"/>
      <c r="AM32" s="307"/>
      <c r="AN32" s="307"/>
      <c r="AO32" s="307"/>
      <c r="AP32" s="317"/>
    </row>
    <row r="33" spans="1:42" s="36" customFormat="1" ht="12" customHeight="1" x14ac:dyDescent="0.2">
      <c r="A33" s="283"/>
      <c r="B33" s="289"/>
      <c r="C33" s="285"/>
      <c r="D33" s="453"/>
      <c r="E33" s="180">
        <f t="shared" si="14"/>
        <v>0</v>
      </c>
      <c r="F33" s="181" t="s">
        <v>102</v>
      </c>
      <c r="G33" s="312"/>
      <c r="H33" s="313"/>
      <c r="I33" s="313"/>
      <c r="J33" s="313"/>
      <c r="K33" s="313"/>
      <c r="L33" s="313"/>
      <c r="M33" s="313"/>
      <c r="N33" s="313"/>
      <c r="O33" s="313"/>
      <c r="P33" s="313"/>
      <c r="Q33" s="313"/>
      <c r="R33" s="313"/>
      <c r="S33" s="313"/>
      <c r="T33" s="313"/>
      <c r="U33" s="313"/>
      <c r="V33" s="313"/>
      <c r="W33" s="313"/>
      <c r="X33" s="313"/>
      <c r="Y33" s="313"/>
      <c r="Z33" s="313"/>
      <c r="AA33" s="313"/>
      <c r="AB33" s="314"/>
      <c r="AC33" s="312"/>
      <c r="AD33" s="313"/>
      <c r="AE33" s="313"/>
      <c r="AF33" s="313"/>
      <c r="AG33" s="313"/>
      <c r="AH33" s="313"/>
      <c r="AI33" s="313"/>
      <c r="AJ33" s="313"/>
      <c r="AK33" s="313"/>
      <c r="AL33" s="313"/>
      <c r="AM33" s="313"/>
      <c r="AN33" s="313"/>
      <c r="AO33" s="313"/>
      <c r="AP33" s="315"/>
    </row>
    <row r="34" spans="1:42" s="36" customFormat="1" ht="12" customHeight="1" x14ac:dyDescent="0.2">
      <c r="A34" s="281" t="s">
        <v>93</v>
      </c>
      <c r="B34" s="281"/>
      <c r="C34" s="282"/>
      <c r="D34" s="455">
        <f>SUM(E34:E35)</f>
        <v>0</v>
      </c>
      <c r="E34" s="182">
        <f t="shared" si="14"/>
        <v>0</v>
      </c>
      <c r="F34" s="183" t="s">
        <v>55</v>
      </c>
      <c r="G34" s="322"/>
      <c r="H34" s="323"/>
      <c r="I34" s="323"/>
      <c r="J34" s="323"/>
      <c r="K34" s="323"/>
      <c r="L34" s="323"/>
      <c r="M34" s="323"/>
      <c r="N34" s="323"/>
      <c r="O34" s="323"/>
      <c r="P34" s="323"/>
      <c r="Q34" s="323"/>
      <c r="R34" s="323"/>
      <c r="S34" s="323"/>
      <c r="T34" s="323"/>
      <c r="U34" s="323"/>
      <c r="V34" s="323"/>
      <c r="W34" s="323"/>
      <c r="X34" s="323"/>
      <c r="Y34" s="323"/>
      <c r="Z34" s="323"/>
      <c r="AA34" s="323"/>
      <c r="AB34" s="324"/>
      <c r="AC34" s="322"/>
      <c r="AD34" s="323"/>
      <c r="AE34" s="323"/>
      <c r="AF34" s="323"/>
      <c r="AG34" s="323"/>
      <c r="AH34" s="323"/>
      <c r="AI34" s="323"/>
      <c r="AJ34" s="323"/>
      <c r="AK34" s="323"/>
      <c r="AL34" s="323"/>
      <c r="AM34" s="323"/>
      <c r="AN34" s="323"/>
      <c r="AO34" s="323"/>
      <c r="AP34" s="325"/>
    </row>
    <row r="35" spans="1:42" s="36" customFormat="1" ht="12" customHeight="1" thickBot="1" x14ac:dyDescent="0.25">
      <c r="A35" s="291"/>
      <c r="B35" s="291"/>
      <c r="C35" s="292"/>
      <c r="D35" s="453"/>
      <c r="E35" s="207">
        <f t="shared" si="14"/>
        <v>0</v>
      </c>
      <c r="F35" s="166" t="s">
        <v>102</v>
      </c>
      <c r="G35" s="318"/>
      <c r="H35" s="319"/>
      <c r="I35" s="319"/>
      <c r="J35" s="319"/>
      <c r="K35" s="319"/>
      <c r="L35" s="319"/>
      <c r="M35" s="319"/>
      <c r="N35" s="319"/>
      <c r="O35" s="319"/>
      <c r="P35" s="319"/>
      <c r="Q35" s="319"/>
      <c r="R35" s="319"/>
      <c r="S35" s="319"/>
      <c r="T35" s="319"/>
      <c r="U35" s="319"/>
      <c r="V35" s="319"/>
      <c r="W35" s="319"/>
      <c r="X35" s="319"/>
      <c r="Y35" s="319"/>
      <c r="Z35" s="319"/>
      <c r="AA35" s="319"/>
      <c r="AB35" s="320"/>
      <c r="AC35" s="318"/>
      <c r="AD35" s="319"/>
      <c r="AE35" s="319"/>
      <c r="AF35" s="319"/>
      <c r="AG35" s="319"/>
      <c r="AH35" s="319"/>
      <c r="AI35" s="319"/>
      <c r="AJ35" s="319"/>
      <c r="AK35" s="319"/>
      <c r="AL35" s="319"/>
      <c r="AM35" s="319"/>
      <c r="AN35" s="319"/>
      <c r="AO35" s="319"/>
      <c r="AP35" s="321"/>
    </row>
    <row r="36" spans="1:42" s="35" customFormat="1" ht="12" customHeight="1" x14ac:dyDescent="0.2">
      <c r="A36" s="184" t="s">
        <v>33</v>
      </c>
      <c r="B36" s="170"/>
      <c r="C36" s="171"/>
      <c r="D36" s="461">
        <f>SUM(E36:E37)</f>
        <v>0</v>
      </c>
      <c r="E36" s="185">
        <f>SUMIF($F$40:$F$41, "Forecast",E40:E41)</f>
        <v>0</v>
      </c>
      <c r="F36" s="163" t="s">
        <v>55</v>
      </c>
      <c r="G36" s="172">
        <f>SUMIF($F$38:$F$41, "Forecast",G38:G41)</f>
        <v>0</v>
      </c>
      <c r="H36" s="172">
        <f t="shared" ref="H36:AP36" si="15">SUMIF($F$38:$F$41, "Forecast",H38:H41)</f>
        <v>0</v>
      </c>
      <c r="I36" s="172">
        <f t="shared" si="15"/>
        <v>0</v>
      </c>
      <c r="J36" s="172">
        <f t="shared" si="15"/>
        <v>0</v>
      </c>
      <c r="K36" s="172">
        <f t="shared" si="15"/>
        <v>0</v>
      </c>
      <c r="L36" s="172">
        <f t="shared" si="15"/>
        <v>0</v>
      </c>
      <c r="M36" s="172">
        <f t="shared" si="15"/>
        <v>0</v>
      </c>
      <c r="N36" s="172">
        <f t="shared" si="15"/>
        <v>0</v>
      </c>
      <c r="O36" s="172">
        <f t="shared" si="15"/>
        <v>0</v>
      </c>
      <c r="P36" s="172">
        <f t="shared" si="15"/>
        <v>0</v>
      </c>
      <c r="Q36" s="172">
        <f t="shared" si="15"/>
        <v>0</v>
      </c>
      <c r="R36" s="172">
        <f t="shared" si="15"/>
        <v>0</v>
      </c>
      <c r="S36" s="172">
        <f t="shared" si="15"/>
        <v>0</v>
      </c>
      <c r="T36" s="172">
        <f t="shared" si="15"/>
        <v>0</v>
      </c>
      <c r="U36" s="172">
        <f t="shared" si="15"/>
        <v>0</v>
      </c>
      <c r="V36" s="172">
        <f t="shared" si="15"/>
        <v>0</v>
      </c>
      <c r="W36" s="172">
        <f t="shared" si="15"/>
        <v>0</v>
      </c>
      <c r="X36" s="172">
        <f t="shared" si="15"/>
        <v>0</v>
      </c>
      <c r="Y36" s="172">
        <f t="shared" si="15"/>
        <v>0</v>
      </c>
      <c r="Z36" s="172">
        <f t="shared" si="15"/>
        <v>0</v>
      </c>
      <c r="AA36" s="172">
        <f t="shared" si="15"/>
        <v>0</v>
      </c>
      <c r="AB36" s="172">
        <f t="shared" si="15"/>
        <v>0</v>
      </c>
      <c r="AC36" s="172">
        <f t="shared" si="15"/>
        <v>0</v>
      </c>
      <c r="AD36" s="172">
        <f t="shared" si="15"/>
        <v>0</v>
      </c>
      <c r="AE36" s="172">
        <f t="shared" si="15"/>
        <v>0</v>
      </c>
      <c r="AF36" s="172">
        <f t="shared" si="15"/>
        <v>0</v>
      </c>
      <c r="AG36" s="172">
        <f t="shared" si="15"/>
        <v>0</v>
      </c>
      <c r="AH36" s="172">
        <f t="shared" si="15"/>
        <v>0</v>
      </c>
      <c r="AI36" s="172">
        <f t="shared" si="15"/>
        <v>0</v>
      </c>
      <c r="AJ36" s="172">
        <f t="shared" si="15"/>
        <v>0</v>
      </c>
      <c r="AK36" s="172">
        <f t="shared" si="15"/>
        <v>0</v>
      </c>
      <c r="AL36" s="172">
        <f t="shared" si="15"/>
        <v>0</v>
      </c>
      <c r="AM36" s="172">
        <f t="shared" si="15"/>
        <v>0</v>
      </c>
      <c r="AN36" s="172">
        <f t="shared" si="15"/>
        <v>0</v>
      </c>
      <c r="AO36" s="172">
        <f t="shared" si="15"/>
        <v>0</v>
      </c>
      <c r="AP36" s="172">
        <f t="shared" si="15"/>
        <v>0</v>
      </c>
    </row>
    <row r="37" spans="1:42" s="35" customFormat="1" ht="12" customHeight="1" thickBot="1" x14ac:dyDescent="0.25">
      <c r="A37" s="184"/>
      <c r="B37" s="175"/>
      <c r="C37" s="171"/>
      <c r="D37" s="462"/>
      <c r="E37" s="206">
        <f>SUMIF($F$40:$F$41,"Actual",E40:E41)</f>
        <v>0</v>
      </c>
      <c r="F37" s="166" t="s">
        <v>102</v>
      </c>
      <c r="G37" s="172">
        <f>SUMIF($F$38:$F$41,"Actual",G38:G41)</f>
        <v>0</v>
      </c>
      <c r="H37" s="172">
        <f t="shared" ref="H37:AP37" si="16">SUMIF($F$38:$F$41,"Actual",H38:H41)</f>
        <v>0</v>
      </c>
      <c r="I37" s="172">
        <f t="shared" si="16"/>
        <v>0</v>
      </c>
      <c r="J37" s="172">
        <f t="shared" si="16"/>
        <v>0</v>
      </c>
      <c r="K37" s="172">
        <f t="shared" si="16"/>
        <v>0</v>
      </c>
      <c r="L37" s="172">
        <f t="shared" si="16"/>
        <v>0</v>
      </c>
      <c r="M37" s="172">
        <f t="shared" si="16"/>
        <v>0</v>
      </c>
      <c r="N37" s="172">
        <f t="shared" si="16"/>
        <v>0</v>
      </c>
      <c r="O37" s="172">
        <f t="shared" si="16"/>
        <v>0</v>
      </c>
      <c r="P37" s="172">
        <f t="shared" si="16"/>
        <v>0</v>
      </c>
      <c r="Q37" s="172">
        <f t="shared" si="16"/>
        <v>0</v>
      </c>
      <c r="R37" s="172">
        <f t="shared" si="16"/>
        <v>0</v>
      </c>
      <c r="S37" s="172">
        <f t="shared" si="16"/>
        <v>0</v>
      </c>
      <c r="T37" s="172">
        <f t="shared" si="16"/>
        <v>0</v>
      </c>
      <c r="U37" s="172">
        <f t="shared" si="16"/>
        <v>0</v>
      </c>
      <c r="V37" s="172">
        <f t="shared" si="16"/>
        <v>0</v>
      </c>
      <c r="W37" s="172">
        <f t="shared" si="16"/>
        <v>0</v>
      </c>
      <c r="X37" s="172">
        <f t="shared" si="16"/>
        <v>0</v>
      </c>
      <c r="Y37" s="172">
        <f t="shared" si="16"/>
        <v>0</v>
      </c>
      <c r="Z37" s="172">
        <f t="shared" si="16"/>
        <v>0</v>
      </c>
      <c r="AA37" s="172">
        <f t="shared" si="16"/>
        <v>0</v>
      </c>
      <c r="AB37" s="172">
        <f t="shared" si="16"/>
        <v>0</v>
      </c>
      <c r="AC37" s="172">
        <f t="shared" si="16"/>
        <v>0</v>
      </c>
      <c r="AD37" s="172">
        <f t="shared" si="16"/>
        <v>0</v>
      </c>
      <c r="AE37" s="172">
        <f t="shared" si="16"/>
        <v>0</v>
      </c>
      <c r="AF37" s="172">
        <f t="shared" si="16"/>
        <v>0</v>
      </c>
      <c r="AG37" s="172">
        <f t="shared" si="16"/>
        <v>0</v>
      </c>
      <c r="AH37" s="172">
        <f t="shared" si="16"/>
        <v>0</v>
      </c>
      <c r="AI37" s="172">
        <f t="shared" si="16"/>
        <v>0</v>
      </c>
      <c r="AJ37" s="172">
        <f t="shared" si="16"/>
        <v>0</v>
      </c>
      <c r="AK37" s="172">
        <f t="shared" si="16"/>
        <v>0</v>
      </c>
      <c r="AL37" s="172">
        <f t="shared" si="16"/>
        <v>0</v>
      </c>
      <c r="AM37" s="172">
        <f t="shared" si="16"/>
        <v>0</v>
      </c>
      <c r="AN37" s="172">
        <f t="shared" si="16"/>
        <v>0</v>
      </c>
      <c r="AO37" s="172">
        <f t="shared" si="16"/>
        <v>0</v>
      </c>
      <c r="AP37" s="172">
        <f t="shared" si="16"/>
        <v>0</v>
      </c>
    </row>
    <row r="38" spans="1:42" s="36" customFormat="1" ht="12" customHeight="1" x14ac:dyDescent="0.2">
      <c r="A38" s="393" t="s">
        <v>200</v>
      </c>
      <c r="B38" s="293"/>
      <c r="C38" s="294"/>
      <c r="D38" s="454">
        <f>SUM(E38:E39)</f>
        <v>0</v>
      </c>
      <c r="E38" s="178">
        <f>SUM(G38:AP38)</f>
        <v>0</v>
      </c>
      <c r="F38" s="163" t="s">
        <v>55</v>
      </c>
      <c r="G38" s="326"/>
      <c r="H38" s="327"/>
      <c r="I38" s="327"/>
      <c r="J38" s="327"/>
      <c r="K38" s="327"/>
      <c r="L38" s="327"/>
      <c r="M38" s="327"/>
      <c r="N38" s="327"/>
      <c r="O38" s="327"/>
      <c r="P38" s="327"/>
      <c r="Q38" s="327"/>
      <c r="R38" s="327"/>
      <c r="S38" s="327"/>
      <c r="T38" s="327"/>
      <c r="U38" s="327"/>
      <c r="V38" s="327"/>
      <c r="W38" s="327"/>
      <c r="X38" s="327"/>
      <c r="Y38" s="327"/>
      <c r="Z38" s="327"/>
      <c r="AA38" s="327"/>
      <c r="AB38" s="328"/>
      <c r="AC38" s="326"/>
      <c r="AD38" s="327"/>
      <c r="AE38" s="327"/>
      <c r="AF38" s="327"/>
      <c r="AG38" s="327"/>
      <c r="AH38" s="327"/>
      <c r="AI38" s="327"/>
      <c r="AJ38" s="327"/>
      <c r="AK38" s="327"/>
      <c r="AL38" s="327"/>
      <c r="AM38" s="327"/>
      <c r="AN38" s="327"/>
      <c r="AO38" s="327"/>
      <c r="AP38" s="329"/>
    </row>
    <row r="39" spans="1:42" s="36" customFormat="1" ht="12" customHeight="1" thickBot="1" x14ac:dyDescent="0.25">
      <c r="A39" s="291"/>
      <c r="B39" s="291"/>
      <c r="C39" s="292"/>
      <c r="D39" s="453"/>
      <c r="E39" s="207">
        <f>SUM(G39:AP39)</f>
        <v>0</v>
      </c>
      <c r="F39" s="166" t="s">
        <v>102</v>
      </c>
      <c r="G39" s="330"/>
      <c r="H39" s="331"/>
      <c r="I39" s="331"/>
      <c r="J39" s="331"/>
      <c r="K39" s="331"/>
      <c r="L39" s="331"/>
      <c r="M39" s="331"/>
      <c r="N39" s="331"/>
      <c r="O39" s="331"/>
      <c r="P39" s="331"/>
      <c r="Q39" s="331"/>
      <c r="R39" s="331"/>
      <c r="S39" s="331"/>
      <c r="T39" s="331"/>
      <c r="U39" s="331"/>
      <c r="V39" s="331"/>
      <c r="W39" s="331"/>
      <c r="X39" s="331"/>
      <c r="Y39" s="331"/>
      <c r="Z39" s="331"/>
      <c r="AA39" s="331"/>
      <c r="AB39" s="332"/>
      <c r="AC39" s="330"/>
      <c r="AD39" s="331"/>
      <c r="AE39" s="331"/>
      <c r="AF39" s="331"/>
      <c r="AG39" s="331"/>
      <c r="AH39" s="331"/>
      <c r="AI39" s="331"/>
      <c r="AJ39" s="331"/>
      <c r="AK39" s="331"/>
      <c r="AL39" s="331"/>
      <c r="AM39" s="331"/>
      <c r="AN39" s="331"/>
      <c r="AO39" s="331"/>
      <c r="AP39" s="333"/>
    </row>
    <row r="40" spans="1:42" s="36" customFormat="1" ht="12" customHeight="1" x14ac:dyDescent="0.2">
      <c r="A40" s="393" t="s">
        <v>199</v>
      </c>
      <c r="B40" s="293"/>
      <c r="C40" s="294"/>
      <c r="D40" s="454">
        <f>SUM(E40:E41)</f>
        <v>0</v>
      </c>
      <c r="E40" s="178">
        <f>SUM(G40:AP40)</f>
        <v>0</v>
      </c>
      <c r="F40" s="163" t="s">
        <v>55</v>
      </c>
      <c r="G40" s="326"/>
      <c r="H40" s="327"/>
      <c r="I40" s="327"/>
      <c r="J40" s="327"/>
      <c r="K40" s="327"/>
      <c r="L40" s="327"/>
      <c r="M40" s="327"/>
      <c r="N40" s="327"/>
      <c r="O40" s="327"/>
      <c r="P40" s="327"/>
      <c r="Q40" s="327"/>
      <c r="R40" s="327"/>
      <c r="S40" s="327"/>
      <c r="T40" s="327"/>
      <c r="U40" s="327"/>
      <c r="V40" s="327"/>
      <c r="W40" s="327"/>
      <c r="X40" s="327"/>
      <c r="Y40" s="327"/>
      <c r="Z40" s="327"/>
      <c r="AA40" s="327"/>
      <c r="AB40" s="328"/>
      <c r="AC40" s="326"/>
      <c r="AD40" s="327"/>
      <c r="AE40" s="327"/>
      <c r="AF40" s="327"/>
      <c r="AG40" s="327"/>
      <c r="AH40" s="327"/>
      <c r="AI40" s="327"/>
      <c r="AJ40" s="327"/>
      <c r="AK40" s="327"/>
      <c r="AL40" s="327"/>
      <c r="AM40" s="327"/>
      <c r="AN40" s="327"/>
      <c r="AO40" s="327"/>
      <c r="AP40" s="329"/>
    </row>
    <row r="41" spans="1:42" s="36" customFormat="1" ht="12" customHeight="1" thickBot="1" x14ac:dyDescent="0.25">
      <c r="A41" s="291"/>
      <c r="B41" s="291"/>
      <c r="C41" s="292"/>
      <c r="D41" s="453"/>
      <c r="E41" s="207">
        <f>SUM(G41:AP41)</f>
        <v>0</v>
      </c>
      <c r="F41" s="166" t="s">
        <v>102</v>
      </c>
      <c r="G41" s="330"/>
      <c r="H41" s="331"/>
      <c r="I41" s="331"/>
      <c r="J41" s="331"/>
      <c r="K41" s="331"/>
      <c r="L41" s="331"/>
      <c r="M41" s="331"/>
      <c r="N41" s="331"/>
      <c r="O41" s="331"/>
      <c r="P41" s="331"/>
      <c r="Q41" s="331"/>
      <c r="R41" s="331"/>
      <c r="S41" s="331"/>
      <c r="T41" s="331"/>
      <c r="U41" s="331"/>
      <c r="V41" s="331"/>
      <c r="W41" s="331"/>
      <c r="X41" s="331"/>
      <c r="Y41" s="331"/>
      <c r="Z41" s="331"/>
      <c r="AA41" s="331"/>
      <c r="AB41" s="332"/>
      <c r="AC41" s="330"/>
      <c r="AD41" s="331"/>
      <c r="AE41" s="331"/>
      <c r="AF41" s="331"/>
      <c r="AG41" s="331"/>
      <c r="AH41" s="331"/>
      <c r="AI41" s="331"/>
      <c r="AJ41" s="331"/>
      <c r="AK41" s="331"/>
      <c r="AL41" s="331"/>
      <c r="AM41" s="331"/>
      <c r="AN41" s="331"/>
      <c r="AO41" s="331"/>
      <c r="AP41" s="333"/>
    </row>
    <row r="42" spans="1:42" s="35" customFormat="1" ht="12" customHeight="1" x14ac:dyDescent="0.2">
      <c r="A42" s="184" t="s">
        <v>84</v>
      </c>
      <c r="B42" s="170"/>
      <c r="C42" s="171"/>
      <c r="D42" s="461">
        <f>SUM(E42:E43)</f>
        <v>0</v>
      </c>
      <c r="E42" s="185">
        <f>SUMIF($F$44:$F$45, "Forecast",E44:E45)</f>
        <v>0</v>
      </c>
      <c r="F42" s="163" t="s">
        <v>55</v>
      </c>
      <c r="G42" s="172">
        <f>SUMIF($F$44:$F$45, "Forecast",G44:G45)</f>
        <v>0</v>
      </c>
      <c r="H42" s="173">
        <f t="shared" ref="H42:R42" si="17">SUMIF($F$44:$F$45, "Forecast",H44:H45)</f>
        <v>0</v>
      </c>
      <c r="I42" s="173">
        <f t="shared" si="17"/>
        <v>0</v>
      </c>
      <c r="J42" s="173">
        <f t="shared" si="17"/>
        <v>0</v>
      </c>
      <c r="K42" s="173">
        <f t="shared" si="17"/>
        <v>0</v>
      </c>
      <c r="L42" s="173">
        <f t="shared" si="17"/>
        <v>0</v>
      </c>
      <c r="M42" s="173">
        <f t="shared" si="17"/>
        <v>0</v>
      </c>
      <c r="N42" s="173">
        <f t="shared" si="17"/>
        <v>0</v>
      </c>
      <c r="O42" s="173">
        <f t="shared" si="17"/>
        <v>0</v>
      </c>
      <c r="P42" s="173">
        <f t="shared" si="17"/>
        <v>0</v>
      </c>
      <c r="Q42" s="173">
        <f t="shared" si="17"/>
        <v>0</v>
      </c>
      <c r="R42" s="173">
        <f t="shared" si="17"/>
        <v>0</v>
      </c>
      <c r="S42" s="173">
        <f t="shared" ref="S42:AO42" si="18">SUMIF($F$44:$F$45, "Forecast",S44:S45)</f>
        <v>0</v>
      </c>
      <c r="T42" s="173">
        <f t="shared" si="18"/>
        <v>0</v>
      </c>
      <c r="U42" s="173">
        <f t="shared" si="18"/>
        <v>0</v>
      </c>
      <c r="V42" s="173">
        <f t="shared" si="18"/>
        <v>0</v>
      </c>
      <c r="W42" s="173">
        <f t="shared" si="18"/>
        <v>0</v>
      </c>
      <c r="X42" s="173">
        <f t="shared" si="18"/>
        <v>0</v>
      </c>
      <c r="Y42" s="173">
        <f t="shared" si="18"/>
        <v>0</v>
      </c>
      <c r="Z42" s="173">
        <f t="shared" si="18"/>
        <v>0</v>
      </c>
      <c r="AA42" s="173">
        <f t="shared" si="18"/>
        <v>0</v>
      </c>
      <c r="AB42" s="197">
        <f t="shared" si="18"/>
        <v>0</v>
      </c>
      <c r="AC42" s="172">
        <f t="shared" si="18"/>
        <v>0</v>
      </c>
      <c r="AD42" s="173">
        <f t="shared" si="18"/>
        <v>0</v>
      </c>
      <c r="AE42" s="173">
        <f t="shared" si="18"/>
        <v>0</v>
      </c>
      <c r="AF42" s="173">
        <f t="shared" si="18"/>
        <v>0</v>
      </c>
      <c r="AG42" s="173">
        <f t="shared" si="18"/>
        <v>0</v>
      </c>
      <c r="AH42" s="173">
        <f t="shared" si="18"/>
        <v>0</v>
      </c>
      <c r="AI42" s="173">
        <f t="shared" si="18"/>
        <v>0</v>
      </c>
      <c r="AJ42" s="173">
        <f t="shared" si="18"/>
        <v>0</v>
      </c>
      <c r="AK42" s="173">
        <f t="shared" si="18"/>
        <v>0</v>
      </c>
      <c r="AL42" s="173">
        <f t="shared" si="18"/>
        <v>0</v>
      </c>
      <c r="AM42" s="173">
        <f t="shared" si="18"/>
        <v>0</v>
      </c>
      <c r="AN42" s="173">
        <f t="shared" si="18"/>
        <v>0</v>
      </c>
      <c r="AO42" s="173">
        <f t="shared" si="18"/>
        <v>0</v>
      </c>
      <c r="AP42" s="201">
        <f t="shared" ref="AP42" si="19">SUMIF($F$44:$F$45, "Forecast",AP44:AP45)</f>
        <v>0</v>
      </c>
    </row>
    <row r="43" spans="1:42" s="35" customFormat="1" ht="12" customHeight="1" thickBot="1" x14ac:dyDescent="0.25">
      <c r="A43" s="184"/>
      <c r="B43" s="175"/>
      <c r="C43" s="171"/>
      <c r="D43" s="462"/>
      <c r="E43" s="206">
        <f>SUMIF($F$44:$F$45,"Actual",E44:E45)</f>
        <v>0</v>
      </c>
      <c r="F43" s="166" t="s">
        <v>102</v>
      </c>
      <c r="G43" s="172">
        <f t="shared" ref="G43:R43" si="20">SUMIF($F$44:$F$45,"Actual",G44:G45)</f>
        <v>0</v>
      </c>
      <c r="H43" s="173">
        <f t="shared" si="20"/>
        <v>0</v>
      </c>
      <c r="I43" s="173">
        <f t="shared" si="20"/>
        <v>0</v>
      </c>
      <c r="J43" s="173">
        <f t="shared" si="20"/>
        <v>0</v>
      </c>
      <c r="K43" s="173">
        <f t="shared" si="20"/>
        <v>0</v>
      </c>
      <c r="L43" s="173">
        <f t="shared" si="20"/>
        <v>0</v>
      </c>
      <c r="M43" s="173">
        <f t="shared" si="20"/>
        <v>0</v>
      </c>
      <c r="N43" s="173">
        <f t="shared" si="20"/>
        <v>0</v>
      </c>
      <c r="O43" s="173">
        <f t="shared" si="20"/>
        <v>0</v>
      </c>
      <c r="P43" s="173">
        <f t="shared" si="20"/>
        <v>0</v>
      </c>
      <c r="Q43" s="173">
        <f t="shared" si="20"/>
        <v>0</v>
      </c>
      <c r="R43" s="173">
        <f t="shared" si="20"/>
        <v>0</v>
      </c>
      <c r="S43" s="173">
        <f t="shared" ref="S43:AO43" si="21">SUMIF($F$44:$F$45,"Actual",S44:S45)</f>
        <v>0</v>
      </c>
      <c r="T43" s="173">
        <f t="shared" si="21"/>
        <v>0</v>
      </c>
      <c r="U43" s="173">
        <f t="shared" si="21"/>
        <v>0</v>
      </c>
      <c r="V43" s="173">
        <f t="shared" si="21"/>
        <v>0</v>
      </c>
      <c r="W43" s="173">
        <f t="shared" si="21"/>
        <v>0</v>
      </c>
      <c r="X43" s="173">
        <f t="shared" si="21"/>
        <v>0</v>
      </c>
      <c r="Y43" s="173">
        <f t="shared" si="21"/>
        <v>0</v>
      </c>
      <c r="Z43" s="173">
        <f t="shared" si="21"/>
        <v>0</v>
      </c>
      <c r="AA43" s="173">
        <f t="shared" si="21"/>
        <v>0</v>
      </c>
      <c r="AB43" s="197">
        <f t="shared" si="21"/>
        <v>0</v>
      </c>
      <c r="AC43" s="172">
        <f t="shared" si="21"/>
        <v>0</v>
      </c>
      <c r="AD43" s="173">
        <f t="shared" si="21"/>
        <v>0</v>
      </c>
      <c r="AE43" s="173">
        <f t="shared" si="21"/>
        <v>0</v>
      </c>
      <c r="AF43" s="173">
        <f t="shared" si="21"/>
        <v>0</v>
      </c>
      <c r="AG43" s="173">
        <f t="shared" si="21"/>
        <v>0</v>
      </c>
      <c r="AH43" s="173">
        <f t="shared" si="21"/>
        <v>0</v>
      </c>
      <c r="AI43" s="173">
        <f t="shared" si="21"/>
        <v>0</v>
      </c>
      <c r="AJ43" s="173">
        <f t="shared" si="21"/>
        <v>0</v>
      </c>
      <c r="AK43" s="173">
        <f t="shared" si="21"/>
        <v>0</v>
      </c>
      <c r="AL43" s="173">
        <f t="shared" si="21"/>
        <v>0</v>
      </c>
      <c r="AM43" s="173">
        <f t="shared" si="21"/>
        <v>0</v>
      </c>
      <c r="AN43" s="173">
        <f t="shared" si="21"/>
        <v>0</v>
      </c>
      <c r="AO43" s="173">
        <f t="shared" si="21"/>
        <v>0</v>
      </c>
      <c r="AP43" s="201">
        <f t="shared" ref="AP43" si="22">SUMIF($F$44:$F$45,"Actual",AP44:AP45)</f>
        <v>0</v>
      </c>
    </row>
    <row r="44" spans="1:42" s="35" customFormat="1" ht="12" customHeight="1" x14ac:dyDescent="0.2">
      <c r="A44" s="290" t="s">
        <v>71</v>
      </c>
      <c r="B44" s="295"/>
      <c r="C44" s="296"/>
      <c r="D44" s="454">
        <f>SUM(E44:E45)</f>
        <v>0</v>
      </c>
      <c r="E44" s="178">
        <f>SUM(G44:AP44)</f>
        <v>0</v>
      </c>
      <c r="F44" s="183" t="s">
        <v>55</v>
      </c>
      <c r="G44" s="334"/>
      <c r="H44" s="335"/>
      <c r="I44" s="335"/>
      <c r="J44" s="335"/>
      <c r="K44" s="335"/>
      <c r="L44" s="335"/>
      <c r="M44" s="335"/>
      <c r="N44" s="335"/>
      <c r="O44" s="335"/>
      <c r="P44" s="335"/>
      <c r="Q44" s="335"/>
      <c r="R44" s="335"/>
      <c r="S44" s="335"/>
      <c r="T44" s="335"/>
      <c r="U44" s="335"/>
      <c r="V44" s="335"/>
      <c r="W44" s="335"/>
      <c r="X44" s="335"/>
      <c r="Y44" s="335"/>
      <c r="Z44" s="335"/>
      <c r="AA44" s="335"/>
      <c r="AB44" s="336"/>
      <c r="AC44" s="334"/>
      <c r="AD44" s="335"/>
      <c r="AE44" s="335"/>
      <c r="AF44" s="335"/>
      <c r="AG44" s="335"/>
      <c r="AH44" s="335"/>
      <c r="AI44" s="335"/>
      <c r="AJ44" s="335"/>
      <c r="AK44" s="335"/>
      <c r="AL44" s="335"/>
      <c r="AM44" s="335"/>
      <c r="AN44" s="335"/>
      <c r="AO44" s="335"/>
      <c r="AP44" s="337"/>
    </row>
    <row r="45" spans="1:42" s="36" customFormat="1" ht="12" customHeight="1" thickBot="1" x14ac:dyDescent="0.25">
      <c r="A45" s="291"/>
      <c r="B45" s="291"/>
      <c r="C45" s="292"/>
      <c r="D45" s="456"/>
      <c r="E45" s="180">
        <f>SUM(G45:AP45)</f>
        <v>0</v>
      </c>
      <c r="F45" s="181" t="s">
        <v>102</v>
      </c>
      <c r="G45" s="318"/>
      <c r="H45" s="319"/>
      <c r="I45" s="319"/>
      <c r="J45" s="319"/>
      <c r="K45" s="319"/>
      <c r="L45" s="319"/>
      <c r="M45" s="319"/>
      <c r="N45" s="319"/>
      <c r="O45" s="319"/>
      <c r="P45" s="319"/>
      <c r="Q45" s="319"/>
      <c r="R45" s="319"/>
      <c r="S45" s="319"/>
      <c r="T45" s="319"/>
      <c r="U45" s="319"/>
      <c r="V45" s="319"/>
      <c r="W45" s="319"/>
      <c r="X45" s="319"/>
      <c r="Y45" s="319"/>
      <c r="Z45" s="319"/>
      <c r="AA45" s="319"/>
      <c r="AB45" s="320"/>
      <c r="AC45" s="318"/>
      <c r="AD45" s="319"/>
      <c r="AE45" s="319"/>
      <c r="AF45" s="319"/>
      <c r="AG45" s="319"/>
      <c r="AH45" s="319"/>
      <c r="AI45" s="319"/>
      <c r="AJ45" s="319"/>
      <c r="AK45" s="319"/>
      <c r="AL45" s="319"/>
      <c r="AM45" s="319"/>
      <c r="AN45" s="319"/>
      <c r="AO45" s="319"/>
      <c r="AP45" s="321"/>
    </row>
    <row r="46" spans="1:42" s="36" customFormat="1" ht="12" customHeight="1" thickBot="1" x14ac:dyDescent="0.25">
      <c r="A46" s="188"/>
      <c r="B46" s="188"/>
      <c r="C46" s="189"/>
      <c r="D46" s="190" t="s">
        <v>109</v>
      </c>
      <c r="E46" s="191"/>
      <c r="F46" s="192"/>
      <c r="G46" s="193"/>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row>
    <row r="47" spans="1:42" ht="34.5" customHeight="1" thickBot="1" x14ac:dyDescent="0.25">
      <c r="A47" s="297" t="s">
        <v>70</v>
      </c>
      <c r="B47" s="298" t="s">
        <v>100</v>
      </c>
      <c r="C47" s="278" t="s">
        <v>57</v>
      </c>
      <c r="D47" s="278" t="s">
        <v>108</v>
      </c>
      <c r="E47" s="279" t="s">
        <v>158</v>
      </c>
      <c r="F47" s="299" t="s">
        <v>5</v>
      </c>
      <c r="G47" s="300">
        <f>'MS Project Data - Forecast'!B2</f>
        <v>41821</v>
      </c>
      <c r="H47" s="300">
        <f>'MS Project Data - Forecast'!C2</f>
        <v>41852</v>
      </c>
      <c r="I47" s="300">
        <f>'MS Project Data - Forecast'!D2</f>
        <v>41883</v>
      </c>
      <c r="J47" s="300">
        <f>'MS Project Data - Forecast'!E2</f>
        <v>41913</v>
      </c>
      <c r="K47" s="300">
        <f>'MS Project Data - Forecast'!F2</f>
        <v>41944</v>
      </c>
      <c r="L47" s="300">
        <f>'MS Project Data - Forecast'!G2</f>
        <v>41974</v>
      </c>
      <c r="M47" s="300">
        <f>'MS Project Data - Forecast'!H2</f>
        <v>42005</v>
      </c>
      <c r="N47" s="300">
        <f>'MS Project Data - Forecast'!I2</f>
        <v>42036</v>
      </c>
      <c r="O47" s="300">
        <f>'MS Project Data - Forecast'!J2</f>
        <v>42064</v>
      </c>
      <c r="P47" s="300">
        <f>'MS Project Data - Forecast'!K2</f>
        <v>42095</v>
      </c>
      <c r="Q47" s="300">
        <f>'MS Project Data - Forecast'!L2</f>
        <v>42125</v>
      </c>
      <c r="R47" s="300">
        <f>'MS Project Data - Forecast'!M2</f>
        <v>42156</v>
      </c>
      <c r="S47" s="300">
        <f>'MS Project Data - Forecast'!N2</f>
        <v>42186</v>
      </c>
      <c r="T47" s="300">
        <f>'MS Project Data - Forecast'!O2</f>
        <v>42217</v>
      </c>
      <c r="U47" s="300">
        <f>'MS Project Data - Forecast'!P2</f>
        <v>42248</v>
      </c>
      <c r="V47" s="300">
        <f>'MS Project Data - Forecast'!Q2</f>
        <v>42278</v>
      </c>
      <c r="W47" s="300">
        <f>'MS Project Data - Forecast'!R2</f>
        <v>42309</v>
      </c>
      <c r="X47" s="300">
        <f>'MS Project Data - Forecast'!S2</f>
        <v>42339</v>
      </c>
      <c r="Y47" s="300">
        <f>'MS Project Data - Forecast'!T2</f>
        <v>42370</v>
      </c>
      <c r="Z47" s="300">
        <f>'MS Project Data - Forecast'!U2</f>
        <v>42401</v>
      </c>
      <c r="AA47" s="300">
        <f>'MS Project Data - Forecast'!V2</f>
        <v>42430</v>
      </c>
      <c r="AB47" s="301">
        <f>'MS Project Data - Forecast'!W2</f>
        <v>42461</v>
      </c>
      <c r="AC47" s="300">
        <f>'MS Project Data - Forecast'!X2</f>
        <v>42491</v>
      </c>
      <c r="AD47" s="302">
        <f>'MS Project Data - Forecast'!Y2</f>
        <v>42522</v>
      </c>
      <c r="AE47" s="302">
        <f>'MS Project Data - Forecast'!Z2</f>
        <v>42552</v>
      </c>
      <c r="AF47" s="302">
        <f>'MS Project Data - Forecast'!AA2</f>
        <v>42583</v>
      </c>
      <c r="AG47" s="302">
        <f>'MS Project Data - Forecast'!AB2</f>
        <v>42614</v>
      </c>
      <c r="AH47" s="302">
        <f>'MS Project Data - Forecast'!AC2</f>
        <v>42644</v>
      </c>
      <c r="AI47" s="302">
        <f>'MS Project Data - Forecast'!AD2</f>
        <v>42675</v>
      </c>
      <c r="AJ47" s="302">
        <f>'MS Project Data - Forecast'!AE2</f>
        <v>42705</v>
      </c>
      <c r="AK47" s="302">
        <f>'MS Project Data - Forecast'!AF2</f>
        <v>42736</v>
      </c>
      <c r="AL47" s="302">
        <f>'MS Project Data - Forecast'!AG2</f>
        <v>42767</v>
      </c>
      <c r="AM47" s="302">
        <f>'MS Project Data - Forecast'!AH2</f>
        <v>42795</v>
      </c>
      <c r="AN47" s="302">
        <f>'MS Project Data - Forecast'!AI2</f>
        <v>42826</v>
      </c>
      <c r="AO47" s="302">
        <f>'MS Project Data - Forecast'!AJ2</f>
        <v>42856</v>
      </c>
      <c r="AP47" s="303">
        <f>'MS Project Data - Forecast'!AK2</f>
        <v>42887</v>
      </c>
    </row>
    <row r="48" spans="1:42" s="35" customFormat="1" ht="12" customHeight="1" x14ac:dyDescent="0.2">
      <c r="A48" s="184" t="s">
        <v>101</v>
      </c>
      <c r="B48" s="170"/>
      <c r="C48" s="171"/>
      <c r="D48" s="461">
        <f>SUM(E48:E49)</f>
        <v>0</v>
      </c>
      <c r="E48" s="185">
        <f>SUMIF($F$50:$F$53, "Forecast",E50:E53)</f>
        <v>0</v>
      </c>
      <c r="F48" s="163" t="s">
        <v>55</v>
      </c>
      <c r="G48" s="172">
        <f>SUMIF($F$50:$F$53, "Forecast",G50:G53)</f>
        <v>0</v>
      </c>
      <c r="H48" s="173">
        <f t="shared" ref="H48:R48" si="23">SUMIF($F$50:$F$53, "Forecast",H50:H53)</f>
        <v>0</v>
      </c>
      <c r="I48" s="173">
        <f t="shared" si="23"/>
        <v>0</v>
      </c>
      <c r="J48" s="173">
        <f t="shared" si="23"/>
        <v>0</v>
      </c>
      <c r="K48" s="173">
        <f t="shared" si="23"/>
        <v>0</v>
      </c>
      <c r="L48" s="173">
        <f t="shared" si="23"/>
        <v>0</v>
      </c>
      <c r="M48" s="173">
        <f t="shared" si="23"/>
        <v>0</v>
      </c>
      <c r="N48" s="173">
        <f t="shared" si="23"/>
        <v>0</v>
      </c>
      <c r="O48" s="173">
        <f t="shared" si="23"/>
        <v>0</v>
      </c>
      <c r="P48" s="173">
        <f t="shared" si="23"/>
        <v>0</v>
      </c>
      <c r="Q48" s="173">
        <f t="shared" si="23"/>
        <v>0</v>
      </c>
      <c r="R48" s="173">
        <f t="shared" si="23"/>
        <v>0</v>
      </c>
      <c r="S48" s="173">
        <f t="shared" ref="S48:AP48" si="24">SUMIF($F$50:$F$53, "Forecast",S50:S53)</f>
        <v>0</v>
      </c>
      <c r="T48" s="173">
        <f t="shared" si="24"/>
        <v>0</v>
      </c>
      <c r="U48" s="173">
        <f t="shared" si="24"/>
        <v>0</v>
      </c>
      <c r="V48" s="173">
        <f t="shared" si="24"/>
        <v>0</v>
      </c>
      <c r="W48" s="173">
        <f t="shared" si="24"/>
        <v>0</v>
      </c>
      <c r="X48" s="173">
        <f t="shared" si="24"/>
        <v>0</v>
      </c>
      <c r="Y48" s="173">
        <f t="shared" si="24"/>
        <v>0</v>
      </c>
      <c r="Z48" s="173">
        <f t="shared" si="24"/>
        <v>0</v>
      </c>
      <c r="AA48" s="173">
        <f t="shared" si="24"/>
        <v>0</v>
      </c>
      <c r="AB48" s="197">
        <f t="shared" si="24"/>
        <v>0</v>
      </c>
      <c r="AC48" s="172">
        <f t="shared" si="24"/>
        <v>0</v>
      </c>
      <c r="AD48" s="173">
        <f t="shared" si="24"/>
        <v>0</v>
      </c>
      <c r="AE48" s="173">
        <f t="shared" si="24"/>
        <v>0</v>
      </c>
      <c r="AF48" s="173">
        <f t="shared" si="24"/>
        <v>0</v>
      </c>
      <c r="AG48" s="173">
        <f t="shared" si="24"/>
        <v>0</v>
      </c>
      <c r="AH48" s="173">
        <f t="shared" si="24"/>
        <v>0</v>
      </c>
      <c r="AI48" s="173">
        <f t="shared" si="24"/>
        <v>0</v>
      </c>
      <c r="AJ48" s="173">
        <f t="shared" si="24"/>
        <v>0</v>
      </c>
      <c r="AK48" s="173">
        <f t="shared" si="24"/>
        <v>0</v>
      </c>
      <c r="AL48" s="173">
        <f t="shared" si="24"/>
        <v>0</v>
      </c>
      <c r="AM48" s="173">
        <f t="shared" si="24"/>
        <v>0</v>
      </c>
      <c r="AN48" s="173">
        <f t="shared" si="24"/>
        <v>0</v>
      </c>
      <c r="AO48" s="173">
        <f t="shared" si="24"/>
        <v>0</v>
      </c>
      <c r="AP48" s="201">
        <f t="shared" si="24"/>
        <v>0</v>
      </c>
    </row>
    <row r="49" spans="1:42" s="35" customFormat="1" ht="12" customHeight="1" thickBot="1" x14ac:dyDescent="0.25">
      <c r="A49" s="184"/>
      <c r="B49" s="175"/>
      <c r="C49" s="171"/>
      <c r="D49" s="462"/>
      <c r="E49" s="206">
        <f>SUMIF($F$50:$F$53,"Actual",E50:E53)</f>
        <v>0</v>
      </c>
      <c r="F49" s="166" t="s">
        <v>102</v>
      </c>
      <c r="G49" s="172">
        <f t="shared" ref="G49:R49" si="25">SUMIF($F$50:$F$51,"Actual",G50:G51)</f>
        <v>0</v>
      </c>
      <c r="H49" s="173">
        <f t="shared" si="25"/>
        <v>0</v>
      </c>
      <c r="I49" s="173">
        <f t="shared" si="25"/>
        <v>0</v>
      </c>
      <c r="J49" s="173">
        <f t="shared" si="25"/>
        <v>0</v>
      </c>
      <c r="K49" s="173">
        <f t="shared" si="25"/>
        <v>0</v>
      </c>
      <c r="L49" s="173">
        <f t="shared" si="25"/>
        <v>0</v>
      </c>
      <c r="M49" s="173">
        <f t="shared" si="25"/>
        <v>0</v>
      </c>
      <c r="N49" s="173">
        <f t="shared" si="25"/>
        <v>0</v>
      </c>
      <c r="O49" s="173">
        <f t="shared" si="25"/>
        <v>0</v>
      </c>
      <c r="P49" s="173">
        <f t="shared" si="25"/>
        <v>0</v>
      </c>
      <c r="Q49" s="173">
        <f t="shared" si="25"/>
        <v>0</v>
      </c>
      <c r="R49" s="173">
        <f t="shared" si="25"/>
        <v>0</v>
      </c>
      <c r="S49" s="173">
        <f t="shared" ref="S49:AP49" si="26">SUMIF($F$50:$F$51,"Actual",S50:S51)</f>
        <v>0</v>
      </c>
      <c r="T49" s="173">
        <f t="shared" si="26"/>
        <v>0</v>
      </c>
      <c r="U49" s="173">
        <f t="shared" si="26"/>
        <v>0</v>
      </c>
      <c r="V49" s="173">
        <f t="shared" si="26"/>
        <v>0</v>
      </c>
      <c r="W49" s="173">
        <f t="shared" si="26"/>
        <v>0</v>
      </c>
      <c r="X49" s="173">
        <f t="shared" si="26"/>
        <v>0</v>
      </c>
      <c r="Y49" s="173">
        <f t="shared" si="26"/>
        <v>0</v>
      </c>
      <c r="Z49" s="173">
        <f t="shared" si="26"/>
        <v>0</v>
      </c>
      <c r="AA49" s="173">
        <f t="shared" si="26"/>
        <v>0</v>
      </c>
      <c r="AB49" s="197">
        <f t="shared" si="26"/>
        <v>0</v>
      </c>
      <c r="AC49" s="172">
        <f t="shared" si="26"/>
        <v>0</v>
      </c>
      <c r="AD49" s="173">
        <f t="shared" si="26"/>
        <v>0</v>
      </c>
      <c r="AE49" s="173">
        <f t="shared" si="26"/>
        <v>0</v>
      </c>
      <c r="AF49" s="173">
        <f t="shared" si="26"/>
        <v>0</v>
      </c>
      <c r="AG49" s="173">
        <f t="shared" si="26"/>
        <v>0</v>
      </c>
      <c r="AH49" s="173">
        <f t="shared" si="26"/>
        <v>0</v>
      </c>
      <c r="AI49" s="173">
        <f t="shared" si="26"/>
        <v>0</v>
      </c>
      <c r="AJ49" s="173">
        <f t="shared" si="26"/>
        <v>0</v>
      </c>
      <c r="AK49" s="173">
        <f t="shared" si="26"/>
        <v>0</v>
      </c>
      <c r="AL49" s="173">
        <f t="shared" si="26"/>
        <v>0</v>
      </c>
      <c r="AM49" s="173">
        <f t="shared" si="26"/>
        <v>0</v>
      </c>
      <c r="AN49" s="173">
        <f t="shared" si="26"/>
        <v>0</v>
      </c>
      <c r="AO49" s="173">
        <f t="shared" si="26"/>
        <v>0</v>
      </c>
      <c r="AP49" s="201">
        <f t="shared" si="26"/>
        <v>0</v>
      </c>
    </row>
    <row r="50" spans="1:42" s="36" customFormat="1" ht="12" customHeight="1" x14ac:dyDescent="0.2">
      <c r="A50" s="286" t="s">
        <v>103</v>
      </c>
      <c r="B50" s="290"/>
      <c r="C50" s="288"/>
      <c r="D50" s="454">
        <f>SUM(E50:E51)</f>
        <v>0</v>
      </c>
      <c r="E50" s="178">
        <f>SUM(G50:AP50)</f>
        <v>0</v>
      </c>
      <c r="F50" s="183" t="s">
        <v>55</v>
      </c>
      <c r="G50" s="306"/>
      <c r="H50" s="307"/>
      <c r="I50" s="307"/>
      <c r="J50" s="307"/>
      <c r="K50" s="307"/>
      <c r="L50" s="307"/>
      <c r="M50" s="307"/>
      <c r="N50" s="307"/>
      <c r="O50" s="307"/>
      <c r="P50" s="307"/>
      <c r="Q50" s="307"/>
      <c r="R50" s="307"/>
      <c r="S50" s="307"/>
      <c r="T50" s="307"/>
      <c r="U50" s="307"/>
      <c r="V50" s="307"/>
      <c r="W50" s="307"/>
      <c r="X50" s="307"/>
      <c r="Y50" s="307"/>
      <c r="Z50" s="307"/>
      <c r="AA50" s="307"/>
      <c r="AB50" s="316"/>
      <c r="AC50" s="306"/>
      <c r="AD50" s="307"/>
      <c r="AE50" s="307"/>
      <c r="AF50" s="307"/>
      <c r="AG50" s="307"/>
      <c r="AH50" s="307"/>
      <c r="AI50" s="307"/>
      <c r="AJ50" s="307"/>
      <c r="AK50" s="307"/>
      <c r="AL50" s="307"/>
      <c r="AM50" s="307"/>
      <c r="AN50" s="307"/>
      <c r="AO50" s="307"/>
      <c r="AP50" s="317"/>
    </row>
    <row r="51" spans="1:42" s="36" customFormat="1" ht="12" customHeight="1" x14ac:dyDescent="0.2">
      <c r="A51" s="283"/>
      <c r="B51" s="289"/>
      <c r="C51" s="285"/>
      <c r="D51" s="453"/>
      <c r="E51" s="180">
        <f>SUM(G51:AP51)</f>
        <v>0</v>
      </c>
      <c r="F51" s="181" t="s">
        <v>102</v>
      </c>
      <c r="G51" s="312"/>
      <c r="H51" s="313"/>
      <c r="I51" s="313"/>
      <c r="J51" s="313"/>
      <c r="K51" s="313"/>
      <c r="L51" s="313"/>
      <c r="M51" s="313"/>
      <c r="N51" s="313"/>
      <c r="O51" s="313"/>
      <c r="P51" s="313"/>
      <c r="Q51" s="313"/>
      <c r="R51" s="313"/>
      <c r="S51" s="313"/>
      <c r="T51" s="313"/>
      <c r="U51" s="313"/>
      <c r="V51" s="313"/>
      <c r="W51" s="313"/>
      <c r="X51" s="313"/>
      <c r="Y51" s="313"/>
      <c r="Z51" s="313"/>
      <c r="AA51" s="313"/>
      <c r="AB51" s="314"/>
      <c r="AC51" s="312"/>
      <c r="AD51" s="313"/>
      <c r="AE51" s="313"/>
      <c r="AF51" s="313"/>
      <c r="AG51" s="313"/>
      <c r="AH51" s="313"/>
      <c r="AI51" s="313"/>
      <c r="AJ51" s="313"/>
      <c r="AK51" s="313"/>
      <c r="AL51" s="313"/>
      <c r="AM51" s="313"/>
      <c r="AN51" s="313"/>
      <c r="AO51" s="313"/>
      <c r="AP51" s="315"/>
    </row>
    <row r="52" spans="1:42" s="36" customFormat="1" ht="12" customHeight="1" x14ac:dyDescent="0.2">
      <c r="A52" s="304" t="s">
        <v>104</v>
      </c>
      <c r="B52" s="304"/>
      <c r="C52" s="282"/>
      <c r="D52" s="452">
        <f>SUM(E52:E53)</f>
        <v>0</v>
      </c>
      <c r="E52" s="182">
        <f>SUM(G52:AP52)</f>
        <v>0</v>
      </c>
      <c r="F52" s="183" t="s">
        <v>55</v>
      </c>
      <c r="G52" s="338"/>
      <c r="H52" s="339"/>
      <c r="I52" s="339"/>
      <c r="J52" s="339"/>
      <c r="K52" s="339"/>
      <c r="L52" s="339"/>
      <c r="M52" s="339"/>
      <c r="N52" s="339"/>
      <c r="O52" s="339"/>
      <c r="P52" s="339"/>
      <c r="Q52" s="339"/>
      <c r="R52" s="339"/>
      <c r="S52" s="339"/>
      <c r="T52" s="339"/>
      <c r="U52" s="339"/>
      <c r="V52" s="339"/>
      <c r="W52" s="339"/>
      <c r="X52" s="339"/>
      <c r="Y52" s="339"/>
      <c r="Z52" s="339"/>
      <c r="AA52" s="339"/>
      <c r="AB52" s="340"/>
      <c r="AC52" s="338"/>
      <c r="AD52" s="339"/>
      <c r="AE52" s="339"/>
      <c r="AF52" s="339"/>
      <c r="AG52" s="339"/>
      <c r="AH52" s="339"/>
      <c r="AI52" s="339"/>
      <c r="AJ52" s="339"/>
      <c r="AK52" s="339"/>
      <c r="AL52" s="339"/>
      <c r="AM52" s="339"/>
      <c r="AN52" s="339"/>
      <c r="AO52" s="339"/>
      <c r="AP52" s="341"/>
    </row>
    <row r="53" spans="1:42" s="36" customFormat="1" ht="12" customHeight="1" thickBot="1" x14ac:dyDescent="0.25">
      <c r="A53" s="305"/>
      <c r="B53" s="305"/>
      <c r="C53" s="292"/>
      <c r="D53" s="456"/>
      <c r="E53" s="207">
        <f>SUM(G53:AP53)</f>
        <v>0</v>
      </c>
      <c r="F53" s="166" t="s">
        <v>102</v>
      </c>
      <c r="G53" s="342"/>
      <c r="H53" s="343"/>
      <c r="I53" s="343"/>
      <c r="J53" s="343"/>
      <c r="K53" s="343"/>
      <c r="L53" s="343"/>
      <c r="M53" s="343"/>
      <c r="N53" s="343"/>
      <c r="O53" s="343"/>
      <c r="P53" s="343"/>
      <c r="Q53" s="343"/>
      <c r="R53" s="343"/>
      <c r="S53" s="343"/>
      <c r="T53" s="343"/>
      <c r="U53" s="343"/>
      <c r="V53" s="343"/>
      <c r="W53" s="343"/>
      <c r="X53" s="343"/>
      <c r="Y53" s="343"/>
      <c r="Z53" s="343"/>
      <c r="AA53" s="343"/>
      <c r="AB53" s="344"/>
      <c r="AC53" s="342"/>
      <c r="AD53" s="343"/>
      <c r="AE53" s="343"/>
      <c r="AF53" s="343"/>
      <c r="AG53" s="343"/>
      <c r="AH53" s="343"/>
      <c r="AI53" s="343"/>
      <c r="AJ53" s="343"/>
      <c r="AK53" s="343"/>
      <c r="AL53" s="343"/>
      <c r="AM53" s="343"/>
      <c r="AN53" s="343"/>
      <c r="AO53" s="343"/>
      <c r="AP53" s="345"/>
    </row>
  </sheetData>
  <mergeCells count="28">
    <mergeCell ref="A2:A3"/>
    <mergeCell ref="B2:B3"/>
    <mergeCell ref="C2:C3"/>
    <mergeCell ref="D50:D51"/>
    <mergeCell ref="D52:D53"/>
    <mergeCell ref="D2:D3"/>
    <mergeCell ref="D4:D5"/>
    <mergeCell ref="D26:D27"/>
    <mergeCell ref="D42:D43"/>
    <mergeCell ref="D48:D49"/>
    <mergeCell ref="D32:D33"/>
    <mergeCell ref="D34:D35"/>
    <mergeCell ref="D36:D37"/>
    <mergeCell ref="D40:D41"/>
    <mergeCell ref="D18:D19"/>
    <mergeCell ref="D20:D21"/>
    <mergeCell ref="D22:D23"/>
    <mergeCell ref="D24:D25"/>
    <mergeCell ref="D44:D45"/>
    <mergeCell ref="D28:D29"/>
    <mergeCell ref="D30:D31"/>
    <mergeCell ref="D38:D39"/>
    <mergeCell ref="D16:D17"/>
    <mergeCell ref="D6:D7"/>
    <mergeCell ref="D8:D9"/>
    <mergeCell ref="D10:D11"/>
    <mergeCell ref="D12:D13"/>
    <mergeCell ref="D14:D15"/>
  </mergeCells>
  <pageMargins left="0.7" right="0.7" top="0.75" bottom="0.75" header="0.3" footer="0.3"/>
  <pageSetup scale="78" fitToWidth="0" orientation="landscape" r:id="rId1"/>
  <headerFooter>
    <oddHeader>&amp;C&amp;"Arial,Bold"&amp;14&amp;A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R39"/>
  <sheetViews>
    <sheetView zoomScaleNormal="100" workbookViewId="0">
      <pane xSplit="8" ySplit="1" topLeftCell="I2" activePane="bottomRight" state="frozen"/>
      <selection activeCell="B9" sqref="B9"/>
      <selection pane="topRight" activeCell="B9" sqref="B9"/>
      <selection pane="bottomLeft" activeCell="B9" sqref="B9"/>
      <selection pane="bottomRight" activeCell="E12" sqref="E12"/>
    </sheetView>
  </sheetViews>
  <sheetFormatPr defaultColWidth="9.109375" defaultRowHeight="10.199999999999999" x14ac:dyDescent="0.2"/>
  <cols>
    <col min="1" max="1" width="10.44140625" style="45" bestFit="1" customWidth="1"/>
    <col min="2" max="2" width="26.44140625" style="6" bestFit="1" customWidth="1"/>
    <col min="3" max="3" width="27.33203125" style="6" bestFit="1" customWidth="1"/>
    <col min="4" max="4" width="8.5546875" style="6" customWidth="1"/>
    <col min="5" max="5" width="7.33203125" style="6" customWidth="1"/>
    <col min="6" max="6" width="9.44140625" style="11" bestFit="1" customWidth="1"/>
    <col min="7" max="7" width="7.44140625" style="6" customWidth="1"/>
    <col min="8" max="8" width="10.109375" style="6" customWidth="1"/>
    <col min="9" max="9" width="10.6640625" style="6" bestFit="1" customWidth="1"/>
    <col min="10" max="15" width="10.109375" style="6" customWidth="1"/>
    <col min="16" max="16" width="10.6640625" style="6" customWidth="1"/>
    <col min="17" max="17" width="10.6640625" style="6" bestFit="1" customWidth="1"/>
    <col min="18" max="18" width="10.6640625" style="6" customWidth="1"/>
    <col min="19" max="44" width="10.6640625" style="6" bestFit="1" customWidth="1"/>
    <col min="45" max="16384" width="9.109375" style="6"/>
  </cols>
  <sheetData>
    <row r="1" spans="1:44" s="45" customFormat="1" ht="30.6" x14ac:dyDescent="0.2">
      <c r="A1" s="346" t="s">
        <v>98</v>
      </c>
      <c r="B1" s="346" t="s">
        <v>11</v>
      </c>
      <c r="C1" s="346" t="s">
        <v>90</v>
      </c>
      <c r="D1" s="347" t="s">
        <v>116</v>
      </c>
      <c r="E1" s="347" t="s">
        <v>110</v>
      </c>
      <c r="F1" s="347" t="s">
        <v>117</v>
      </c>
      <c r="G1" s="347" t="s">
        <v>174</v>
      </c>
      <c r="H1" s="347" t="s">
        <v>91</v>
      </c>
      <c r="I1" s="348">
        <f>Assumptions!C2</f>
        <v>41821</v>
      </c>
      <c r="J1" s="349">
        <f>EDATE(I1,1)</f>
        <v>41852</v>
      </c>
      <c r="K1" s="349">
        <f t="shared" ref="K1:AR1" si="0">EDATE(J1,1)</f>
        <v>41883</v>
      </c>
      <c r="L1" s="349">
        <f t="shared" si="0"/>
        <v>41913</v>
      </c>
      <c r="M1" s="349">
        <f t="shared" si="0"/>
        <v>41944</v>
      </c>
      <c r="N1" s="349">
        <f t="shared" si="0"/>
        <v>41974</v>
      </c>
      <c r="O1" s="349">
        <f t="shared" si="0"/>
        <v>42005</v>
      </c>
      <c r="P1" s="349">
        <f t="shared" si="0"/>
        <v>42036</v>
      </c>
      <c r="Q1" s="349">
        <f t="shared" si="0"/>
        <v>42064</v>
      </c>
      <c r="R1" s="349">
        <f t="shared" si="0"/>
        <v>42095</v>
      </c>
      <c r="S1" s="349">
        <f t="shared" si="0"/>
        <v>42125</v>
      </c>
      <c r="T1" s="349">
        <f t="shared" si="0"/>
        <v>42156</v>
      </c>
      <c r="U1" s="349">
        <f t="shared" si="0"/>
        <v>42186</v>
      </c>
      <c r="V1" s="349">
        <f t="shared" si="0"/>
        <v>42217</v>
      </c>
      <c r="W1" s="349">
        <f t="shared" si="0"/>
        <v>42248</v>
      </c>
      <c r="X1" s="349">
        <f t="shared" si="0"/>
        <v>42278</v>
      </c>
      <c r="Y1" s="349">
        <f t="shared" si="0"/>
        <v>42309</v>
      </c>
      <c r="Z1" s="349">
        <f t="shared" si="0"/>
        <v>42339</v>
      </c>
      <c r="AA1" s="349">
        <f t="shared" si="0"/>
        <v>42370</v>
      </c>
      <c r="AB1" s="349">
        <f t="shared" si="0"/>
        <v>42401</v>
      </c>
      <c r="AC1" s="349">
        <f t="shared" si="0"/>
        <v>42430</v>
      </c>
      <c r="AD1" s="349">
        <f t="shared" si="0"/>
        <v>42461</v>
      </c>
      <c r="AE1" s="349">
        <f t="shared" si="0"/>
        <v>42491</v>
      </c>
      <c r="AF1" s="349">
        <f t="shared" si="0"/>
        <v>42522</v>
      </c>
      <c r="AG1" s="349">
        <f t="shared" si="0"/>
        <v>42552</v>
      </c>
      <c r="AH1" s="349">
        <f t="shared" si="0"/>
        <v>42583</v>
      </c>
      <c r="AI1" s="349">
        <f t="shared" si="0"/>
        <v>42614</v>
      </c>
      <c r="AJ1" s="349">
        <f t="shared" si="0"/>
        <v>42644</v>
      </c>
      <c r="AK1" s="349">
        <f t="shared" si="0"/>
        <v>42675</v>
      </c>
      <c r="AL1" s="349">
        <f t="shared" si="0"/>
        <v>42705</v>
      </c>
      <c r="AM1" s="349">
        <f t="shared" si="0"/>
        <v>42736</v>
      </c>
      <c r="AN1" s="349">
        <f t="shared" si="0"/>
        <v>42767</v>
      </c>
      <c r="AO1" s="349">
        <f t="shared" si="0"/>
        <v>42795</v>
      </c>
      <c r="AP1" s="349">
        <f t="shared" si="0"/>
        <v>42826</v>
      </c>
      <c r="AQ1" s="349">
        <f t="shared" si="0"/>
        <v>42856</v>
      </c>
      <c r="AR1" s="349">
        <f t="shared" si="0"/>
        <v>42887</v>
      </c>
    </row>
    <row r="2" spans="1:44" s="68" customFormat="1" ht="11.25" customHeight="1" x14ac:dyDescent="0.2">
      <c r="A2" s="350"/>
      <c r="B2" s="350">
        <v>1</v>
      </c>
      <c r="C2" s="351"/>
      <c r="D2" s="352"/>
      <c r="E2" s="352"/>
      <c r="F2" s="353" t="s">
        <v>6</v>
      </c>
      <c r="G2" s="94">
        <f t="shared" ref="G2:G17" si="1">SUM(I2:AQ2)</f>
        <v>0</v>
      </c>
      <c r="H2" s="394"/>
      <c r="I2" s="360">
        <f>INDEX('MS Project Data - Forecast'!$A$4:$L$682,MATCH($B2,'MS Project Data - Forecast'!$A$4:$A$738,0),2)</f>
        <v>0</v>
      </c>
      <c r="J2" s="360">
        <f>INDEX('MS Project Data - Forecast'!$A$4:$L$682,MATCH($B2,'MS Project Data - Forecast'!$A$4:$A$738,0),3)</f>
        <v>0</v>
      </c>
      <c r="K2" s="360">
        <f>INDEX('MS Project Data - Forecast'!$A$4:$L$682,MATCH($B2,'MS Project Data - Forecast'!$A$4:$A$738,0),4)</f>
        <v>0</v>
      </c>
      <c r="L2" s="360">
        <f>INDEX('MS Project Data - Forecast'!$A$4:$L$682,MATCH($B2,'MS Project Data - Forecast'!$A$4:$A$738,0),5)</f>
        <v>0</v>
      </c>
      <c r="M2" s="360">
        <f>INDEX('MS Project Data - Forecast'!$A$4:$L$682,MATCH($B2,'MS Project Data - Forecast'!$A$4:$A$738,0),6)</f>
        <v>0</v>
      </c>
      <c r="N2" s="360">
        <f>INDEX('MS Project Data - Forecast'!$A$4:$L$682,MATCH($B2,'MS Project Data - Forecast'!$A$4:$A$738,0),7)</f>
        <v>0</v>
      </c>
      <c r="O2" s="360">
        <f>INDEX('MS Project Data - Forecast'!$A$4:$L$682,MATCH($B2,'MS Project Data - Forecast'!$A$4:$A$738,0),8)</f>
        <v>0</v>
      </c>
      <c r="P2" s="360">
        <f>INDEX('MS Project Data - Forecast'!$A$4:$L$682,MATCH($B2,'MS Project Data - Forecast'!$A$4:$A$738,0),9)</f>
        <v>0</v>
      </c>
      <c r="Q2" s="360">
        <f>INDEX('MS Project Data - Forecast'!$A$4:$L$682,MATCH($B2,'MS Project Data - Forecast'!$A$4:$A$738,0),10)</f>
        <v>0</v>
      </c>
      <c r="R2" s="360">
        <f>INDEX('MS Project Data - Forecast'!$A$4:$L$682,MATCH($B2,'MS Project Data - Forecast'!$A$4:$A$738,0),11)</f>
        <v>0</v>
      </c>
      <c r="S2" s="360">
        <f>INDEX('MS Project Data - Forecast'!$A$4:$LA$682,MATCH($B2,'MS Project Data - Forecast'!$A$4:$A$738,0),12)</f>
        <v>0</v>
      </c>
      <c r="T2" s="360">
        <f>INDEX('MS Project Data - Forecast'!$A$4:$LA$682,MATCH($B2,'MS Project Data - Forecast'!$A$4:$A$738,0),13)</f>
        <v>0</v>
      </c>
      <c r="U2" s="360">
        <f>INDEX('MS Project Data - Forecast'!$A$4:$LA$682,MATCH($B2,'MS Project Data - Forecast'!$A$4:$A$738,0),14)</f>
        <v>0</v>
      </c>
      <c r="V2" s="360">
        <f>INDEX('MS Project Data - Forecast'!$A$4:$LA$682,MATCH($B2,'MS Project Data - Forecast'!$A$4:$A$738,0),15)</f>
        <v>0</v>
      </c>
      <c r="W2" s="360">
        <f>INDEX('MS Project Data - Forecast'!$A$4:$LA$682,MATCH($B2,'MS Project Data - Forecast'!$A$4:$A$738,0),16)</f>
        <v>0</v>
      </c>
      <c r="X2" s="360">
        <f>INDEX('MS Project Data - Forecast'!$A$4:$LA$682,MATCH($B2,'MS Project Data - Forecast'!$A$4:$A$738,0),17)</f>
        <v>0</v>
      </c>
      <c r="Y2" s="360">
        <f>INDEX('MS Project Data - Forecast'!$A$4:$LA$682,MATCH($B2,'MS Project Data - Forecast'!$A$4:$A$738,0),18)</f>
        <v>0</v>
      </c>
      <c r="Z2" s="360">
        <f>INDEX('MS Project Data - Forecast'!$A$4:$LA$682,MATCH($B2,'MS Project Data - Forecast'!$A$4:$A$738,0),19)</f>
        <v>0</v>
      </c>
      <c r="AA2" s="360">
        <f>INDEX('MS Project Data - Forecast'!$A$4:$LA$682,MATCH($B2,'MS Project Data - Forecast'!$A$4:$A$738,0),20)</f>
        <v>0</v>
      </c>
      <c r="AB2" s="360">
        <f>INDEX('MS Project Data - Forecast'!$A$4:$LA$682,MATCH($B2,'MS Project Data - Forecast'!$A$4:$A$738,0),21)</f>
        <v>0</v>
      </c>
      <c r="AC2" s="360">
        <f>INDEX('MS Project Data - Forecast'!$A$4:$LA$682,MATCH($B2,'MS Project Data - Forecast'!$A$4:$A$738,0),22)</f>
        <v>0</v>
      </c>
      <c r="AD2" s="360">
        <f>INDEX('MS Project Data - Forecast'!$A$4:$LA$682,MATCH($B2,'MS Project Data - Forecast'!$A$4:$A$738,0),23)</f>
        <v>0</v>
      </c>
      <c r="AE2" s="360">
        <f>INDEX('MS Project Data - Forecast'!$A$4:$LA$682,MATCH($B2,'MS Project Data - Forecast'!$A$4:$A$738,0),24)</f>
        <v>0</v>
      </c>
      <c r="AF2" s="360">
        <f>INDEX('MS Project Data - Forecast'!$A$4:$LA$682,MATCH($B2,'MS Project Data - Forecast'!$A$4:$A$738,0),25)</f>
        <v>0</v>
      </c>
      <c r="AG2" s="360">
        <f>INDEX('MS Project Data - Forecast'!$A$4:$LA$682,MATCH($B2,'MS Project Data - Forecast'!$A$4:$A$738,0),26)</f>
        <v>0</v>
      </c>
      <c r="AH2" s="360">
        <f>INDEX('MS Project Data - Forecast'!$A$4:$LA$682,MATCH($B2,'MS Project Data - Forecast'!$A$4:$A$738,0),27)</f>
        <v>0</v>
      </c>
      <c r="AI2" s="360">
        <f>INDEX('MS Project Data - Forecast'!$A$4:$LA$682,MATCH($B2,'MS Project Data - Forecast'!$A$4:$A$738,0),28)</f>
        <v>0</v>
      </c>
      <c r="AJ2" s="360">
        <f>INDEX('MS Project Data - Forecast'!$A$4:$LA$682,MATCH($B2,'MS Project Data - Forecast'!$A$4:$A$738,0),29)</f>
        <v>0</v>
      </c>
      <c r="AK2" s="360">
        <f>INDEX('MS Project Data - Forecast'!$A$4:$LA$682,MATCH($B2,'MS Project Data - Forecast'!$A$4:$A$738,0),30)</f>
        <v>0</v>
      </c>
      <c r="AL2" s="360">
        <f>INDEX('MS Project Data - Forecast'!$A$4:$LA$682,MATCH($B2,'MS Project Data - Forecast'!$A$4:$A$738,0),31)</f>
        <v>0</v>
      </c>
      <c r="AM2" s="360">
        <f>INDEX('MS Project Data - Forecast'!$A$4:$LA$682,MATCH($B2,'MS Project Data - Forecast'!$A$4:$A$738,0),32)</f>
        <v>0</v>
      </c>
      <c r="AN2" s="360">
        <f>INDEX('MS Project Data - Forecast'!$A$4:$LA$682,MATCH($B2,'MS Project Data - Forecast'!$A$4:$A$738,0),33)</f>
        <v>0</v>
      </c>
      <c r="AO2" s="360">
        <f>INDEX('MS Project Data - Forecast'!$A$4:$LA$682,MATCH($B2,'MS Project Data - Forecast'!$A$4:$A$738,0),34)</f>
        <v>0</v>
      </c>
      <c r="AP2" s="360">
        <f>INDEX('MS Project Data - Forecast'!$A$4:$LA$682,MATCH($B2,'MS Project Data - Forecast'!$A$4:$A$738,0),35)</f>
        <v>0</v>
      </c>
      <c r="AQ2" s="360">
        <f>INDEX('MS Project Data - Forecast'!$A$4:$LA$682,MATCH($B2,'MS Project Data - Forecast'!$A$4:$A$738,0),36)</f>
        <v>0</v>
      </c>
      <c r="AR2" s="360">
        <f>INDEX('MS Project Data - Forecast'!$A$4:$LA$682,MATCH($B2,'MS Project Data - Forecast'!$A$4:$A$738,0),36)</f>
        <v>0</v>
      </c>
    </row>
    <row r="3" spans="1:44" s="68" customFormat="1" ht="10.8" thickBot="1" x14ac:dyDescent="0.25">
      <c r="A3" s="354"/>
      <c r="B3" s="354"/>
      <c r="C3" s="354"/>
      <c r="D3" s="355"/>
      <c r="E3" s="355"/>
      <c r="F3" s="356" t="s">
        <v>12</v>
      </c>
      <c r="G3" s="402">
        <f t="shared" si="1"/>
        <v>0</v>
      </c>
      <c r="H3" s="361"/>
      <c r="I3" s="362">
        <f>IF($D3="P",$E3*$H3/12*(1+Assumptions!$D$2),IF($D3="E",$E3*$H3*I$19,0))</f>
        <v>0</v>
      </c>
      <c r="J3" s="362">
        <f>IF($D3="P",$E3*$H3/12*(1+Assumptions!$D$2),IF($D3="E",$E3*$H3*J$19,0))</f>
        <v>0</v>
      </c>
      <c r="K3" s="362">
        <f>IF($D3="P",$E3*$H3/12*(1+Assumptions!$D$2),IF($D3="E",$E3*$H3*K$19,0))</f>
        <v>0</v>
      </c>
      <c r="L3" s="362">
        <f>IF($D3="P",$E3*$H3/12*(1+Assumptions!$D$2),IF($D3="E",$E3*$H3*L$19,0))</f>
        <v>0</v>
      </c>
      <c r="M3" s="362">
        <f>IF($D3="P",$E3*$H3/12*(1+Assumptions!$D$2),IF($D3="E",$E3*$H3*M$19,0))</f>
        <v>0</v>
      </c>
      <c r="N3" s="362">
        <f>IF($D3="P",$E3*$H3/12*(1+Assumptions!$D$2),IF($D3="E",$E3*$H3*N$19,0))</f>
        <v>0</v>
      </c>
      <c r="O3" s="362">
        <f>IF($D3="P",$E3*$H3/12*(1+Assumptions!$D$2),IF($D3="E",$E3*$H3*O$19,0))</f>
        <v>0</v>
      </c>
      <c r="P3" s="362">
        <f>IF($D3="P",$E3*$H3/12*(1+Assumptions!$D$2),IF($D3="E",$E3*$H3*P$19,0))</f>
        <v>0</v>
      </c>
      <c r="Q3" s="362">
        <f>IF($D3="P",$E3*$H3/12*(1+Assumptions!$D$2),IF($D3="E",$E3*$H3*Q$19,0))</f>
        <v>0</v>
      </c>
      <c r="R3" s="362">
        <f>IF($D3="P",$E3*$H3/12*(1+Assumptions!$D$2),IF($D3="E",$E3*$H3*R$19,0))</f>
        <v>0</v>
      </c>
      <c r="S3" s="362">
        <f>IF($D3="P",$E3*$H3/12*(1+Assumptions!$D$2),IF($D3="E",$E3*$H3*S$19,0))</f>
        <v>0</v>
      </c>
      <c r="T3" s="362">
        <f>IF($D3="P",$E3*$H3/12*(1+Assumptions!$D$2),IF($D3="E",$E3*$H3*T$19,0))</f>
        <v>0</v>
      </c>
      <c r="U3" s="362">
        <f>IF($D3="P",($E3+Assumptions!$D$7)*$H3/12*(1+Assumptions!$D$3),IF($D3="E",$E3*$H3*U$19,0))</f>
        <v>0</v>
      </c>
      <c r="V3" s="362">
        <f>IF($D3="P",($E3+Assumptions!$D$7)*$H3/12*(1+Assumptions!$D$3),IF($D3="E",$E3*$H3*V$19,0))</f>
        <v>0</v>
      </c>
      <c r="W3" s="362">
        <f>IF($D3="P",($E3+Assumptions!$D$7)*$H3/12*(1+Assumptions!$D$3),IF($D3="E",$E3*$H3*W$19,0))</f>
        <v>0</v>
      </c>
      <c r="X3" s="362">
        <f>IF($D3="P",($E3+Assumptions!$D$7)*$H3/12*(1+Assumptions!$D$3),IF($D3="E",$E3*$H3*X$19,0))</f>
        <v>0</v>
      </c>
      <c r="Y3" s="362">
        <f>IF($D3="P",($E3+Assumptions!$D$7)*$H3/12*(1+Assumptions!$D$3),IF($D3="E",$E3*$H3*Y$19,0))</f>
        <v>0</v>
      </c>
      <c r="Z3" s="362">
        <f>IF($D3="P",($E3+Assumptions!$D$7)*$H3/12*(1+Assumptions!$D$3),IF($D3="E",$E3*$H3*Z$19,0))</f>
        <v>0</v>
      </c>
      <c r="AA3" s="362">
        <f>IF($D3="P",($E3+Assumptions!$D$7)*$H3/12*(1+Assumptions!$D$3),IF($D3="E",$E3*$H3*AA$19,0))</f>
        <v>0</v>
      </c>
      <c r="AB3" s="362">
        <f>IF($D3="P",($E3+Assumptions!$D$7)*$H3/12*(1+Assumptions!$D$3),IF($D3="E",$E3*$H3*AB$19,0))</f>
        <v>0</v>
      </c>
      <c r="AC3" s="362">
        <f>IF($D3="P",($E3+Assumptions!$D$7)*$H3/12*(1+Assumptions!$D$3),IF($D3="E",$E3*$H3*AC$19,0))</f>
        <v>0</v>
      </c>
      <c r="AD3" s="362">
        <f>IF($D3="P",($E3+Assumptions!$D$7)*$H3/12*(1+Assumptions!$D$3),IF($D3="E",$E3*$H3*AD$19,0))</f>
        <v>0</v>
      </c>
      <c r="AE3" s="362">
        <f>IF($D3="P",($E3+Assumptions!$D$7)*$H3/12*(1+Assumptions!$D$3),IF($D3="E",$E3*$H3*AE$19,0))</f>
        <v>0</v>
      </c>
      <c r="AF3" s="362">
        <f>IF($D3="P",($E3+Assumptions!$D$7)*$H3/12*(1+Assumptions!$D$3),IF($D3="E",$E3*$H3*AF$19,0))</f>
        <v>0</v>
      </c>
      <c r="AG3" s="362">
        <f>IF($D3="P",($E3+Assumptions!$D$7+Assumptions!$D$7)*$H3/12*(1+Assumptions!$D$3),IF($D3="E",$E3*$H3*AG$19,0))</f>
        <v>0</v>
      </c>
      <c r="AH3" s="362">
        <f>IF($D3="P",($E3+Assumptions!$D$7+Assumptions!$D$7)*$H3/12*(1+Assumptions!$D$3),IF($D3="E",$E3*$H3*AH$19,0))</f>
        <v>0</v>
      </c>
      <c r="AI3" s="362">
        <f>IF($D3="P",($E3+Assumptions!$D$7+Assumptions!$D$7)*$H3/12*(1+Assumptions!$D$3),IF($D3="E",$E3*$H3*AI$19,0))</f>
        <v>0</v>
      </c>
      <c r="AJ3" s="362">
        <f>IF($D3="P",($E3+Assumptions!$D$7+Assumptions!$D$7)*$H3/12*(1+Assumptions!$D$3),IF($D3="E",$E3*$H3*AJ$19,0))</f>
        <v>0</v>
      </c>
      <c r="AK3" s="362">
        <f>IF($D3="P",($E3+Assumptions!$D$7+Assumptions!$D$7)*$H3/12*(1+Assumptions!$D$3),IF($D3="E",$E3*$H3*AK$19,0))</f>
        <v>0</v>
      </c>
      <c r="AL3" s="362">
        <f>IF($D3="P",($E3+Assumptions!$D$7+Assumptions!$D$7)*$H3/12*(1+Assumptions!$D$3),IF($D3="E",$E3*$H3*AL$19,0))</f>
        <v>0</v>
      </c>
      <c r="AM3" s="362">
        <f>IF($D3="P",($E3+Assumptions!$D$7+Assumptions!$D$7)*$H3/12*(1+Assumptions!$D$3),IF($D3="E",$E3*$H3*AM$19,0))</f>
        <v>0</v>
      </c>
      <c r="AN3" s="362">
        <f>IF($D3="P",($E3+Assumptions!$D$7+Assumptions!$D$7)*$H3/12*(1+Assumptions!$D$3),IF($D3="E",$E3*$H3*AN$19,0))</f>
        <v>0</v>
      </c>
      <c r="AO3" s="362">
        <f>IF($D3="P",($E3+Assumptions!$D$7+Assumptions!$D$7)*$H3/12*(1+Assumptions!$D$3),IF($D3="E",$E3*$H3*AO$19,0))</f>
        <v>0</v>
      </c>
      <c r="AP3" s="362">
        <f>IF($D3="P",($E3+Assumptions!$D$7+Assumptions!$D$7)*$H3/12*(1+Assumptions!$D$3),IF($D3="E",$E3*$H3*AP$19,0))</f>
        <v>0</v>
      </c>
      <c r="AQ3" s="362">
        <f>IF($D3="P",($E3+Assumptions!$D$7+Assumptions!$D$7)*$H3/12*(1+Assumptions!$D$3),IF($D3="E",$E3*$H3*AQ$19,0))</f>
        <v>0</v>
      </c>
      <c r="AR3" s="362">
        <f>IF($D3="P",($E3+Assumptions!$D$7+Assumptions!$D$7)*$H3/12*(1+Assumptions!$D$3),IF($D3="E",$E3*$H3*AR$19,0))</f>
        <v>0</v>
      </c>
    </row>
    <row r="4" spans="1:44" s="68" customFormat="1" ht="11.25" customHeight="1" x14ac:dyDescent="0.2">
      <c r="A4" s="357"/>
      <c r="B4" s="357">
        <v>2</v>
      </c>
      <c r="C4" s="358"/>
      <c r="D4" s="359"/>
      <c r="E4" s="359"/>
      <c r="F4" s="353" t="s">
        <v>6</v>
      </c>
      <c r="G4" s="95">
        <f t="shared" si="1"/>
        <v>0</v>
      </c>
      <c r="H4" s="394"/>
      <c r="I4" s="363">
        <f>INDEX('MS Project Data - Forecast'!$A$4:$L$682,MATCH($B4,'MS Project Data - Forecast'!$A$4:$A$738,0),2)</f>
        <v>0</v>
      </c>
      <c r="J4" s="363">
        <f>INDEX('MS Project Data - Forecast'!$A$4:$L$682,MATCH($B4,'MS Project Data - Forecast'!$A$4:$A$738,0),3)</f>
        <v>0</v>
      </c>
      <c r="K4" s="363">
        <f>INDEX('MS Project Data - Forecast'!$A$4:$L$682,MATCH($B4,'MS Project Data - Forecast'!$A$4:$A$738,0),4)</f>
        <v>0</v>
      </c>
      <c r="L4" s="363">
        <f>INDEX('MS Project Data - Forecast'!$A$4:$L$682,MATCH($B4,'MS Project Data - Forecast'!$A$4:$A$738,0),5)</f>
        <v>0</v>
      </c>
      <c r="M4" s="363">
        <f>INDEX('MS Project Data - Forecast'!$A$4:$L$682,MATCH($B4,'MS Project Data - Forecast'!$A$4:$A$738,0),6)</f>
        <v>0</v>
      </c>
      <c r="N4" s="363">
        <f>INDEX('MS Project Data - Forecast'!$A$4:$L$682,MATCH($B4,'MS Project Data - Forecast'!$A$4:$A$738,0),7)</f>
        <v>0</v>
      </c>
      <c r="O4" s="363">
        <f>INDEX('MS Project Data - Forecast'!$A$4:$L$682,MATCH($B4,'MS Project Data - Forecast'!$A$4:$A$738,0),8)</f>
        <v>0</v>
      </c>
      <c r="P4" s="363">
        <f>INDEX('MS Project Data - Forecast'!$A$4:$L$682,MATCH($B4,'MS Project Data - Forecast'!$A$4:$A$738,0),9)</f>
        <v>0</v>
      </c>
      <c r="Q4" s="363">
        <f>INDEX('MS Project Data - Forecast'!$A$4:$L$682,MATCH($B4,'MS Project Data - Forecast'!$A$4:$A$738,0),10)</f>
        <v>0</v>
      </c>
      <c r="R4" s="363">
        <f>INDEX('MS Project Data - Forecast'!$A$4:$L$682,MATCH($B4,'MS Project Data - Forecast'!$A$4:$A$738,0),11)</f>
        <v>0</v>
      </c>
      <c r="S4" s="363">
        <f>INDEX('MS Project Data - Forecast'!$A$4:$LA$682,MATCH($B4,'MS Project Data - Forecast'!$A$4:$A$738,0),12)</f>
        <v>0</v>
      </c>
      <c r="T4" s="363">
        <f>INDEX('MS Project Data - Forecast'!$A$4:$LA$682,MATCH($B4,'MS Project Data - Forecast'!$A$4:$A$738,0),13)</f>
        <v>0</v>
      </c>
      <c r="U4" s="363">
        <f>INDEX('MS Project Data - Forecast'!$A$4:$LA$682,MATCH($B4,'MS Project Data - Forecast'!$A$4:$A$738,0),14)</f>
        <v>0</v>
      </c>
      <c r="V4" s="363">
        <f>INDEX('MS Project Data - Forecast'!$A$4:$LA$682,MATCH($B4,'MS Project Data - Forecast'!$A$4:$A$738,0),15)</f>
        <v>0</v>
      </c>
      <c r="W4" s="363">
        <f>INDEX('MS Project Data - Forecast'!$A$4:$LA$682,MATCH($B4,'MS Project Data - Forecast'!$A$4:$A$738,0),16)</f>
        <v>0</v>
      </c>
      <c r="X4" s="363">
        <f>INDEX('MS Project Data - Forecast'!$A$4:$LA$682,MATCH($B4,'MS Project Data - Forecast'!$A$4:$A$738,0),17)</f>
        <v>0</v>
      </c>
      <c r="Y4" s="363">
        <f>INDEX('MS Project Data - Forecast'!$A$4:$LA$682,MATCH($B4,'MS Project Data - Forecast'!$A$4:$A$738,0),18)</f>
        <v>0</v>
      </c>
      <c r="Z4" s="363">
        <f>INDEX('MS Project Data - Forecast'!$A$4:$LA$682,MATCH($B4,'MS Project Data - Forecast'!$A$4:$A$738,0),19)</f>
        <v>0</v>
      </c>
      <c r="AA4" s="363">
        <f>INDEX('MS Project Data - Forecast'!$A$4:$LA$682,MATCH($B4,'MS Project Data - Forecast'!$A$4:$A$738,0),20)</f>
        <v>0</v>
      </c>
      <c r="AB4" s="363">
        <f>INDEX('MS Project Data - Forecast'!$A$4:$LA$682,MATCH($B4,'MS Project Data - Forecast'!$A$4:$A$738,0),21)</f>
        <v>0</v>
      </c>
      <c r="AC4" s="363">
        <f>INDEX('MS Project Data - Forecast'!$A$4:$LA$682,MATCH($B4,'MS Project Data - Forecast'!$A$4:$A$738,0),22)</f>
        <v>0</v>
      </c>
      <c r="AD4" s="363">
        <f>INDEX('MS Project Data - Forecast'!$A$4:$LA$682,MATCH($B4,'MS Project Data - Forecast'!$A$4:$A$738,0),23)</f>
        <v>0</v>
      </c>
      <c r="AE4" s="363">
        <f>INDEX('MS Project Data - Forecast'!$A$4:$LA$682,MATCH($B4,'MS Project Data - Forecast'!$A$4:$A$738,0),24)</f>
        <v>0</v>
      </c>
      <c r="AF4" s="363">
        <f>INDEX('MS Project Data - Forecast'!$A$4:$LA$682,MATCH($B4,'MS Project Data - Forecast'!$A$4:$A$738,0),25)</f>
        <v>0</v>
      </c>
      <c r="AG4" s="363">
        <f>INDEX('MS Project Data - Forecast'!$A$4:$LA$682,MATCH($B4,'MS Project Data - Forecast'!$A$4:$A$738,0),26)</f>
        <v>0</v>
      </c>
      <c r="AH4" s="363">
        <f>INDEX('MS Project Data - Forecast'!$A$4:$LA$682,MATCH($B4,'MS Project Data - Forecast'!$A$4:$A$738,0),27)</f>
        <v>0</v>
      </c>
      <c r="AI4" s="363">
        <f>INDEX('MS Project Data - Forecast'!$A$4:$LA$682,MATCH($B4,'MS Project Data - Forecast'!$A$4:$A$738,0),28)</f>
        <v>0</v>
      </c>
      <c r="AJ4" s="363">
        <f>INDEX('MS Project Data - Forecast'!$A$4:$LA$682,MATCH($B4,'MS Project Data - Forecast'!$A$4:$A$738,0),29)</f>
        <v>0</v>
      </c>
      <c r="AK4" s="363">
        <f>INDEX('MS Project Data - Forecast'!$A$4:$LA$682,MATCH($B4,'MS Project Data - Forecast'!$A$4:$A$738,0),30)</f>
        <v>0</v>
      </c>
      <c r="AL4" s="363">
        <f>INDEX('MS Project Data - Forecast'!$A$4:$LA$682,MATCH($B4,'MS Project Data - Forecast'!$A$4:$A$738,0),31)</f>
        <v>0</v>
      </c>
      <c r="AM4" s="363">
        <f>INDEX('MS Project Data - Forecast'!$A$4:$LA$682,MATCH($B4,'MS Project Data - Forecast'!$A$4:$A$738,0),32)</f>
        <v>0</v>
      </c>
      <c r="AN4" s="363">
        <f>INDEX('MS Project Data - Forecast'!$A$4:$LA$682,MATCH($B4,'MS Project Data - Forecast'!$A$4:$A$738,0),33)</f>
        <v>0</v>
      </c>
      <c r="AO4" s="363">
        <f>INDEX('MS Project Data - Forecast'!$A$4:$LA$682,MATCH($B4,'MS Project Data - Forecast'!$A$4:$A$738,0),34)</f>
        <v>0</v>
      </c>
      <c r="AP4" s="363">
        <f>INDEX('MS Project Data - Forecast'!$A$4:$LA$682,MATCH($B4,'MS Project Data - Forecast'!$A$4:$A$738,0),35)</f>
        <v>0</v>
      </c>
      <c r="AQ4" s="363">
        <f>INDEX('MS Project Data - Forecast'!$A$4:$LA$682,MATCH($B4,'MS Project Data - Forecast'!$A$4:$A$738,0),36)</f>
        <v>0</v>
      </c>
      <c r="AR4" s="363">
        <f>INDEX('MS Project Data - Forecast'!$A$4:$LA$682,MATCH($B4,'MS Project Data - Forecast'!$A$4:$A$738,0),36)</f>
        <v>0</v>
      </c>
    </row>
    <row r="5" spans="1:44" s="68" customFormat="1" ht="10.8" thickBot="1" x14ac:dyDescent="0.25">
      <c r="A5" s="354"/>
      <c r="B5" s="354"/>
      <c r="C5" s="354"/>
      <c r="D5" s="355"/>
      <c r="E5" s="355"/>
      <c r="F5" s="356" t="s">
        <v>12</v>
      </c>
      <c r="G5" s="402">
        <f t="shared" si="1"/>
        <v>0</v>
      </c>
      <c r="H5" s="361"/>
      <c r="I5" s="362">
        <f>IF($D5="P",$E5*$H5/12*(1+Assumptions!$D$2),IF($D5="E",$E5*$H5*I$19,0))</f>
        <v>0</v>
      </c>
      <c r="J5" s="362">
        <f>IF($D5="P",$E5*$H5/12*(1+Assumptions!$D$2),IF($D5="E",$E5*$H5*J$19,0))</f>
        <v>0</v>
      </c>
      <c r="K5" s="362">
        <f>IF($D5="P",$E5*$H5/12*(1+Assumptions!$D$2),IF($D5="E",$E5*$H5*K$19,0))</f>
        <v>0</v>
      </c>
      <c r="L5" s="362">
        <f>IF($D5="P",$E5*$H5/12*(1+Assumptions!$D$2),IF($D5="E",$E5*$H5*L$19,0))</f>
        <v>0</v>
      </c>
      <c r="M5" s="362">
        <f>IF($D5="P",$E5*$H5/12*(1+Assumptions!$D$2),IF($D5="E",$E5*$H5*M$19,0))</f>
        <v>0</v>
      </c>
      <c r="N5" s="362">
        <f>IF($D5="P",$E5*$H5/12*(1+Assumptions!$D$2),IF($D5="E",$E5*$H5*N$19,0))</f>
        <v>0</v>
      </c>
      <c r="O5" s="362">
        <f>IF($D5="P",$E5*$H5/12*(1+Assumptions!$D$2),IF($D5="E",$E5*$H5*O$19,0))</f>
        <v>0</v>
      </c>
      <c r="P5" s="362">
        <f>IF($D5="P",$E5*$H5/12*(1+Assumptions!$D$2),IF($D5="E",$E5*$H5*P$19,0))</f>
        <v>0</v>
      </c>
      <c r="Q5" s="362">
        <f>IF($D5="P",$E5*$H5/12*(1+Assumptions!$D$2),IF($D5="E",$E5*$H5*Q$19,0))</f>
        <v>0</v>
      </c>
      <c r="R5" s="362">
        <f>IF($D5="P",$E5*$H5/12*(1+Assumptions!$D$2),IF($D5="E",$E5*$H5*R$19,0))</f>
        <v>0</v>
      </c>
      <c r="S5" s="362">
        <f>IF($D5="P",$E5*$H5/12*(1+Assumptions!$D$2),IF($D5="E",$E5*$H5*S$19,0))</f>
        <v>0</v>
      </c>
      <c r="T5" s="362">
        <f>IF($D5="P",$E5*$H5/12*(1+Assumptions!$D$2),IF($D5="E",$E5*$H5*T$19,0))</f>
        <v>0</v>
      </c>
      <c r="U5" s="362">
        <f>IF($D5="P",($E5+Assumptions!$D$7)*$H5/12*(1+Assumptions!$D$3),IF($D5="E",$E5*$H5*U$19,0))</f>
        <v>0</v>
      </c>
      <c r="V5" s="362">
        <f>IF($D5="P",($E5+Assumptions!$D$7)*$H5/12*(1+Assumptions!$D$3),IF($D5="E",$E5*$H5*V$19,0))</f>
        <v>0</v>
      </c>
      <c r="W5" s="362">
        <f>IF($D5="P",($E5+Assumptions!$D$7)*$H5/12*(1+Assumptions!$D$3),IF($D5="E",$E5*$H5*W$19,0))</f>
        <v>0</v>
      </c>
      <c r="X5" s="362">
        <f>IF($D5="P",($E5+Assumptions!$D$7)*$H5/12*(1+Assumptions!$D$3),IF($D5="E",$E5*$H5*X$19,0))</f>
        <v>0</v>
      </c>
      <c r="Y5" s="362">
        <f>IF($D5="P",($E5+Assumptions!$D$7)*$H5/12*(1+Assumptions!$D$3),IF($D5="E",$E5*$H5*Y$19,0))</f>
        <v>0</v>
      </c>
      <c r="Z5" s="362">
        <f>IF($D5="P",($E5+Assumptions!$D$7)*$H5/12*(1+Assumptions!$D$3),IF($D5="E",$E5*$H5*Z$19,0))</f>
        <v>0</v>
      </c>
      <c r="AA5" s="362">
        <f>IF($D5="P",($E5+Assumptions!$D$7)*$H5/12*(1+Assumptions!$D$3),IF($D5="E",$E5*$H5*AA$19,0))</f>
        <v>0</v>
      </c>
      <c r="AB5" s="362">
        <f>IF($D5="P",($E5+Assumptions!$D$7)*$H5/12*(1+Assumptions!$D$3),IF($D5="E",$E5*$H5*AB$19,0))</f>
        <v>0</v>
      </c>
      <c r="AC5" s="362">
        <f>IF($D5="P",($E5+Assumptions!$D$7)*$H5/12*(1+Assumptions!$D$3),IF($D5="E",$E5*$H5*AC$19,0))</f>
        <v>0</v>
      </c>
      <c r="AD5" s="362">
        <f>IF($D5="P",($E5+Assumptions!$D$7)*$H5/12*(1+Assumptions!$D$3),IF($D5="E",$E5*$H5*AD$19,0))</f>
        <v>0</v>
      </c>
      <c r="AE5" s="362">
        <f>IF($D5="P",($E5+Assumptions!$D$7)*$H5/12*(1+Assumptions!$D$3),IF($D5="E",$E5*$H5*AE$19,0))</f>
        <v>0</v>
      </c>
      <c r="AF5" s="362">
        <f>IF($D5="P",($E5+Assumptions!$D$7)*$H5/12*(1+Assumptions!$D$3),IF($D5="E",$E5*$H5*AF$19,0))</f>
        <v>0</v>
      </c>
      <c r="AG5" s="362">
        <f>IF($D5="P",($E5+Assumptions!$D$7+Assumptions!$D$7)*$H5/12*(1+Assumptions!$D$3),IF($D5="E",$E5*$H5*AG$19,0))</f>
        <v>0</v>
      </c>
      <c r="AH5" s="362">
        <f>IF($D5="P",($E5+Assumptions!$D$7+Assumptions!$D$7)*$H5/12*(1+Assumptions!$D$3),IF($D5="E",$E5*$H5*AH$19,0))</f>
        <v>0</v>
      </c>
      <c r="AI5" s="362">
        <f>IF($D5="P",($E5+Assumptions!$D$7+Assumptions!$D$7)*$H5/12*(1+Assumptions!$D$3),IF($D5="E",$E5*$H5*AI$19,0))</f>
        <v>0</v>
      </c>
      <c r="AJ5" s="362">
        <f>IF($D5="P",($E5+Assumptions!$D$7+Assumptions!$D$7)*$H5/12*(1+Assumptions!$D$3),IF($D5="E",$E5*$H5*AJ$19,0))</f>
        <v>0</v>
      </c>
      <c r="AK5" s="362">
        <f>IF($D5="P",($E5+Assumptions!$D$7+Assumptions!$D$7)*$H5/12*(1+Assumptions!$D$3),IF($D5="E",$E5*$H5*AK$19,0))</f>
        <v>0</v>
      </c>
      <c r="AL5" s="362">
        <f>IF($D5="P",($E5+Assumptions!$D$7+Assumptions!$D$7)*$H5/12*(1+Assumptions!$D$3),IF($D5="E",$E5*$H5*AL$19,0))</f>
        <v>0</v>
      </c>
      <c r="AM5" s="362">
        <f>IF($D5="P",($E5+Assumptions!$D$7+Assumptions!$D$7)*$H5/12*(1+Assumptions!$D$3),IF($D5="E",$E5*$H5*AM$19,0))</f>
        <v>0</v>
      </c>
      <c r="AN5" s="362">
        <f>IF($D5="P",($E5+Assumptions!$D$7+Assumptions!$D$7)*$H5/12*(1+Assumptions!$D$3),IF($D5="E",$E5*$H5*AN$19,0))</f>
        <v>0</v>
      </c>
      <c r="AO5" s="362">
        <f>IF($D5="P",($E5+Assumptions!$D$7+Assumptions!$D$7)*$H5/12*(1+Assumptions!$D$3),IF($D5="E",$E5*$H5*AO$19,0))</f>
        <v>0</v>
      </c>
      <c r="AP5" s="362">
        <f>IF($D5="P",($E5+Assumptions!$D$7+Assumptions!$D$7)*$H5/12*(1+Assumptions!$D$3),IF($D5="E",$E5*$H5*AP$19,0))</f>
        <v>0</v>
      </c>
      <c r="AQ5" s="362">
        <f>IF($D5="P",($E5+Assumptions!$D$7+Assumptions!$D$7)*$H5/12*(1+Assumptions!$D$3),IF($D5="E",$E5*$H5*AQ$19,0))</f>
        <v>0</v>
      </c>
      <c r="AR5" s="362">
        <f>IF($D5="P",($E5+Assumptions!$D$7+Assumptions!$D$7)*$H5/12*(1+Assumptions!$D$3),IF($D5="E",$E5*$H5*AR$19,0))</f>
        <v>0</v>
      </c>
    </row>
    <row r="6" spans="1:44" s="68" customFormat="1" ht="11.25" customHeight="1" x14ac:dyDescent="0.2">
      <c r="A6" s="350"/>
      <c r="B6" s="350">
        <v>3</v>
      </c>
      <c r="C6" s="351"/>
      <c r="D6" s="359"/>
      <c r="E6" s="352"/>
      <c r="F6" s="353" t="s">
        <v>6</v>
      </c>
      <c r="G6" s="94">
        <f t="shared" si="1"/>
        <v>0</v>
      </c>
      <c r="H6" s="394"/>
      <c r="I6" s="360">
        <f>INDEX('MS Project Data - Forecast'!$A$4:$L$682,MATCH($B6,'MS Project Data - Forecast'!$A$4:$A$738,0),2)</f>
        <v>0</v>
      </c>
      <c r="J6" s="360">
        <f>INDEX('MS Project Data - Forecast'!$A$4:$L$682,MATCH($B6,'MS Project Data - Forecast'!$A$4:$A$738,0),3)</f>
        <v>0</v>
      </c>
      <c r="K6" s="360">
        <f>INDEX('MS Project Data - Forecast'!$A$4:$L$682,MATCH($B6,'MS Project Data - Forecast'!$A$4:$A$738,0),4)</f>
        <v>0</v>
      </c>
      <c r="L6" s="360">
        <f>INDEX('MS Project Data - Forecast'!$A$4:$L$682,MATCH($B6,'MS Project Data - Forecast'!$A$4:$A$738,0),5)</f>
        <v>0</v>
      </c>
      <c r="M6" s="360">
        <f>INDEX('MS Project Data - Forecast'!$A$4:$L$682,MATCH($B6,'MS Project Data - Forecast'!$A$4:$A$738,0),6)</f>
        <v>0</v>
      </c>
      <c r="N6" s="360">
        <f>INDEX('MS Project Data - Forecast'!$A$4:$L$682,MATCH($B6,'MS Project Data - Forecast'!$A$4:$A$738,0),7)</f>
        <v>0</v>
      </c>
      <c r="O6" s="360">
        <f>INDEX('MS Project Data - Forecast'!$A$4:$L$682,MATCH($B6,'MS Project Data - Forecast'!$A$4:$A$738,0),8)</f>
        <v>0</v>
      </c>
      <c r="P6" s="360">
        <f>INDEX('MS Project Data - Forecast'!$A$4:$L$682,MATCH($B6,'MS Project Data - Forecast'!$A$4:$A$738,0),9)</f>
        <v>0</v>
      </c>
      <c r="Q6" s="360">
        <f>INDEX('MS Project Data - Forecast'!$A$4:$L$682,MATCH($B6,'MS Project Data - Forecast'!$A$4:$A$738,0),10)</f>
        <v>0</v>
      </c>
      <c r="R6" s="360">
        <f>INDEX('MS Project Data - Forecast'!$A$4:$L$682,MATCH($B6,'MS Project Data - Forecast'!$A$4:$A$738,0),11)</f>
        <v>0</v>
      </c>
      <c r="S6" s="360">
        <f>INDEX('MS Project Data - Forecast'!$A$4:$LA$682,MATCH($B6,'MS Project Data - Forecast'!$A$4:$A$738,0),12)</f>
        <v>0</v>
      </c>
      <c r="T6" s="360">
        <f>INDEX('MS Project Data - Forecast'!$A$4:$LA$682,MATCH($B6,'MS Project Data - Forecast'!$A$4:$A$738,0),13)</f>
        <v>0</v>
      </c>
      <c r="U6" s="360">
        <f>INDEX('MS Project Data - Forecast'!$A$4:$LA$682,MATCH($B6,'MS Project Data - Forecast'!$A$4:$A$738,0),14)</f>
        <v>0</v>
      </c>
      <c r="V6" s="360">
        <f>INDEX('MS Project Data - Forecast'!$A$4:$LA$682,MATCH($B6,'MS Project Data - Forecast'!$A$4:$A$738,0),15)</f>
        <v>0</v>
      </c>
      <c r="W6" s="360">
        <f>INDEX('MS Project Data - Forecast'!$A$4:$LA$682,MATCH($B6,'MS Project Data - Forecast'!$A$4:$A$738,0),16)</f>
        <v>0</v>
      </c>
      <c r="X6" s="360">
        <f>INDEX('MS Project Data - Forecast'!$A$4:$LA$682,MATCH($B6,'MS Project Data - Forecast'!$A$4:$A$738,0),17)</f>
        <v>0</v>
      </c>
      <c r="Y6" s="360">
        <f>INDEX('MS Project Data - Forecast'!$A$4:$LA$682,MATCH($B6,'MS Project Data - Forecast'!$A$4:$A$738,0),18)</f>
        <v>0</v>
      </c>
      <c r="Z6" s="360">
        <f>INDEX('MS Project Data - Forecast'!$A$4:$LA$682,MATCH($B6,'MS Project Data - Forecast'!$A$4:$A$738,0),19)</f>
        <v>0</v>
      </c>
      <c r="AA6" s="360">
        <f>INDEX('MS Project Data - Forecast'!$A$4:$LA$682,MATCH($B6,'MS Project Data - Forecast'!$A$4:$A$738,0),20)</f>
        <v>0</v>
      </c>
      <c r="AB6" s="360">
        <f>INDEX('MS Project Data - Forecast'!$A$4:$LA$682,MATCH($B6,'MS Project Data - Forecast'!$A$4:$A$738,0),21)</f>
        <v>0</v>
      </c>
      <c r="AC6" s="360">
        <f>INDEX('MS Project Data - Forecast'!$A$4:$LA$682,MATCH($B6,'MS Project Data - Forecast'!$A$4:$A$738,0),22)</f>
        <v>0</v>
      </c>
      <c r="AD6" s="360">
        <f>INDEX('MS Project Data - Forecast'!$A$4:$LA$682,MATCH($B6,'MS Project Data - Forecast'!$A$4:$A$738,0),23)</f>
        <v>0</v>
      </c>
      <c r="AE6" s="360">
        <f>INDEX('MS Project Data - Forecast'!$A$4:$LA$682,MATCH($B6,'MS Project Data - Forecast'!$A$4:$A$738,0),24)</f>
        <v>0</v>
      </c>
      <c r="AF6" s="360">
        <f>INDEX('MS Project Data - Forecast'!$A$4:$LA$682,MATCH($B6,'MS Project Data - Forecast'!$A$4:$A$738,0),25)</f>
        <v>0</v>
      </c>
      <c r="AG6" s="360">
        <f>INDEX('MS Project Data - Forecast'!$A$4:$LA$682,MATCH($B6,'MS Project Data - Forecast'!$A$4:$A$738,0),26)</f>
        <v>0</v>
      </c>
      <c r="AH6" s="360">
        <f>INDEX('MS Project Data - Forecast'!$A$4:$LA$682,MATCH($B6,'MS Project Data - Forecast'!$A$4:$A$738,0),27)</f>
        <v>0</v>
      </c>
      <c r="AI6" s="360">
        <f>INDEX('MS Project Data - Forecast'!$A$4:$LA$682,MATCH($B6,'MS Project Data - Forecast'!$A$4:$A$738,0),28)</f>
        <v>0</v>
      </c>
      <c r="AJ6" s="360">
        <f>INDEX('MS Project Data - Forecast'!$A$4:$LA$682,MATCH($B6,'MS Project Data - Forecast'!$A$4:$A$738,0),29)</f>
        <v>0</v>
      </c>
      <c r="AK6" s="360">
        <f>INDEX('MS Project Data - Forecast'!$A$4:$LA$682,MATCH($B6,'MS Project Data - Forecast'!$A$4:$A$738,0),30)</f>
        <v>0</v>
      </c>
      <c r="AL6" s="360">
        <f>INDEX('MS Project Data - Forecast'!$A$4:$LA$682,MATCH($B6,'MS Project Data - Forecast'!$A$4:$A$738,0),31)</f>
        <v>0</v>
      </c>
      <c r="AM6" s="360">
        <f>INDEX('MS Project Data - Forecast'!$A$4:$LA$682,MATCH($B6,'MS Project Data - Forecast'!$A$4:$A$738,0),32)</f>
        <v>0</v>
      </c>
      <c r="AN6" s="360">
        <f>INDEX('MS Project Data - Forecast'!$A$4:$LA$682,MATCH($B6,'MS Project Data - Forecast'!$A$4:$A$738,0),33)</f>
        <v>0</v>
      </c>
      <c r="AO6" s="360">
        <f>INDEX('MS Project Data - Forecast'!$A$4:$LA$682,MATCH($B6,'MS Project Data - Forecast'!$A$4:$A$738,0),34)</f>
        <v>0</v>
      </c>
      <c r="AP6" s="360">
        <f>INDEX('MS Project Data - Forecast'!$A$4:$LA$682,MATCH($B6,'MS Project Data - Forecast'!$A$4:$A$738,0),35)</f>
        <v>0</v>
      </c>
      <c r="AQ6" s="360">
        <f>INDEX('MS Project Data - Forecast'!$A$4:$LA$682,MATCH($B6,'MS Project Data - Forecast'!$A$4:$A$738,0),36)</f>
        <v>0</v>
      </c>
      <c r="AR6" s="360">
        <f>INDEX('MS Project Data - Forecast'!$A$4:$LA$682,MATCH($B6,'MS Project Data - Forecast'!$A$4:$A$738,0),36)</f>
        <v>0</v>
      </c>
    </row>
    <row r="7" spans="1:44" s="68" customFormat="1" ht="10.8" thickBot="1" x14ac:dyDescent="0.25">
      <c r="A7" s="354"/>
      <c r="B7" s="354"/>
      <c r="C7" s="354"/>
      <c r="D7" s="355"/>
      <c r="E7" s="355"/>
      <c r="F7" s="356" t="s">
        <v>12</v>
      </c>
      <c r="G7" s="402">
        <f t="shared" si="1"/>
        <v>0</v>
      </c>
      <c r="H7" s="361"/>
      <c r="I7" s="362">
        <f>IF($D7="P",$E7*$H7/12*(1+Assumptions!$D$2),IF($D7="E",$E7*$H7*I$19,0))</f>
        <v>0</v>
      </c>
      <c r="J7" s="362">
        <f>IF($D7="P",$E7*$H7/12*(1+Assumptions!$D$2),IF($D7="E",$E7*$H7*J$19,0))</f>
        <v>0</v>
      </c>
      <c r="K7" s="362">
        <f>IF($D7="P",$E7*$H7/12*(1+Assumptions!$D$2),IF($D7="E",$E7*$H7*K$19,0))</f>
        <v>0</v>
      </c>
      <c r="L7" s="362">
        <f>IF($D7="P",$E7*$H7/12*(1+Assumptions!$D$2),IF($D7="E",$E7*$H7*L$19,0))</f>
        <v>0</v>
      </c>
      <c r="M7" s="362">
        <f>IF($D7="P",$E7*$H7/12*(1+Assumptions!$D$2),IF($D7="E",$E7*$H7*M$19,0))</f>
        <v>0</v>
      </c>
      <c r="N7" s="362">
        <f>IF($D7="P",$E7*$H7/12*(1+Assumptions!$D$2),IF($D7="E",$E7*$H7*N$19,0))</f>
        <v>0</v>
      </c>
      <c r="O7" s="362">
        <f>IF($D7="P",$E7*$H7/12*(1+Assumptions!$D$2),IF($D7="E",$E7*$H7*O$19,0))</f>
        <v>0</v>
      </c>
      <c r="P7" s="362">
        <f>IF($D7="P",$E7*$H7/12*(1+Assumptions!$D$2),IF($D7="E",$E7*$H7*P$19,0))</f>
        <v>0</v>
      </c>
      <c r="Q7" s="362">
        <f>IF($D7="P",$E7*$H7/12*(1+Assumptions!$D$2),IF($D7="E",$E7*$H7*Q$19,0))</f>
        <v>0</v>
      </c>
      <c r="R7" s="362">
        <f>IF($D7="P",$E7*$H7/12*(1+Assumptions!$D$2),IF($D7="E",$E7*$H7*R$19,0))</f>
        <v>0</v>
      </c>
      <c r="S7" s="362">
        <f>IF($D7="P",$E7*$H7/12*(1+Assumptions!$D$2),IF($D7="E",$E7*$H7*S$19,0))</f>
        <v>0</v>
      </c>
      <c r="T7" s="362">
        <f>IF($D7="P",$E7*$H7/12*(1+Assumptions!$D$2),IF($D7="E",$E7*$H7*T$19,0))</f>
        <v>0</v>
      </c>
      <c r="U7" s="362">
        <f>IF($D7="P",($E7+Assumptions!$D$7)*$H7/12*(1+Assumptions!$D$3),IF($D7="E",$E7*$H7*U$19,0))</f>
        <v>0</v>
      </c>
      <c r="V7" s="362">
        <f>IF($D7="P",($E7+Assumptions!$D$7)*$H7/12*(1+Assumptions!$D$3),IF($D7="E",$E7*$H7*V$19,0))</f>
        <v>0</v>
      </c>
      <c r="W7" s="362">
        <f>IF($D7="P",($E7+Assumptions!$D$7)*$H7/12*(1+Assumptions!$D$3),IF($D7="E",$E7*$H7*W$19,0))</f>
        <v>0</v>
      </c>
      <c r="X7" s="362">
        <f>IF($D7="P",($E7+Assumptions!$D$7)*$H7/12*(1+Assumptions!$D$3),IF($D7="E",$E7*$H7*X$19,0))</f>
        <v>0</v>
      </c>
      <c r="Y7" s="362">
        <f>IF($D7="P",($E7+Assumptions!$D$7)*$H7/12*(1+Assumptions!$D$3),IF($D7="E",$E7*$H7*Y$19,0))</f>
        <v>0</v>
      </c>
      <c r="Z7" s="362">
        <f>IF($D7="P",($E7+Assumptions!$D$7)*$H7/12*(1+Assumptions!$D$3),IF($D7="E",$E7*$H7*Z$19,0))</f>
        <v>0</v>
      </c>
      <c r="AA7" s="362">
        <f>IF($D7="P",($E7+Assumptions!$D$7)*$H7/12*(1+Assumptions!$D$3),IF($D7="E",$E7*$H7*AA$19,0))</f>
        <v>0</v>
      </c>
      <c r="AB7" s="362">
        <f>IF($D7="P",($E7+Assumptions!$D$7)*$H7/12*(1+Assumptions!$D$3),IF($D7="E",$E7*$H7*AB$19,0))</f>
        <v>0</v>
      </c>
      <c r="AC7" s="362">
        <f>IF($D7="P",($E7+Assumptions!$D$7)*$H7/12*(1+Assumptions!$D$3),IF($D7="E",$E7*$H7*AC$19,0))</f>
        <v>0</v>
      </c>
      <c r="AD7" s="362">
        <f>IF($D7="P",($E7+Assumptions!$D$7)*$H7/12*(1+Assumptions!$D$3),IF($D7="E",$E7*$H7*AD$19,0))</f>
        <v>0</v>
      </c>
      <c r="AE7" s="362">
        <f>IF($D7="P",($E7+Assumptions!$D$7)*$H7/12*(1+Assumptions!$D$3),IF($D7="E",$E7*$H7*AE$19,0))</f>
        <v>0</v>
      </c>
      <c r="AF7" s="362">
        <f>IF($D7="P",($E7+Assumptions!$D$7)*$H7/12*(1+Assumptions!$D$3),IF($D7="E",$E7*$H7*AF$19,0))</f>
        <v>0</v>
      </c>
      <c r="AG7" s="362">
        <f>IF($D7="P",($E7+Assumptions!$D$7+Assumptions!$D$7)*$H7/12*(1+Assumptions!$D$3),IF($D7="E",$E7*$H7*AG$19,0))</f>
        <v>0</v>
      </c>
      <c r="AH7" s="362">
        <f>IF($D7="P",($E7+Assumptions!$D$7+Assumptions!$D$7)*$H7/12*(1+Assumptions!$D$3),IF($D7="E",$E7*$H7*AH$19,0))</f>
        <v>0</v>
      </c>
      <c r="AI7" s="362">
        <f>IF($D7="P",($E7+Assumptions!$D$7+Assumptions!$D$7)*$H7/12*(1+Assumptions!$D$3),IF($D7="E",$E7*$H7*AI$19,0))</f>
        <v>0</v>
      </c>
      <c r="AJ7" s="362">
        <f>IF($D7="P",($E7+Assumptions!$D$7+Assumptions!$D$7)*$H7/12*(1+Assumptions!$D$3),IF($D7="E",$E7*$H7*AJ$19,0))</f>
        <v>0</v>
      </c>
      <c r="AK7" s="362">
        <f>IF($D7="P",($E7+Assumptions!$D$7+Assumptions!$D$7)*$H7/12*(1+Assumptions!$D$3),IF($D7="E",$E7*$H7*AK$19,0))</f>
        <v>0</v>
      </c>
      <c r="AL7" s="362">
        <f>IF($D7="P",($E7+Assumptions!$D$7+Assumptions!$D$7)*$H7/12*(1+Assumptions!$D$3),IF($D7="E",$E7*$H7*AL$19,0))</f>
        <v>0</v>
      </c>
      <c r="AM7" s="362">
        <f>IF($D7="P",($E7+Assumptions!$D$7+Assumptions!$D$7)*$H7/12*(1+Assumptions!$D$3),IF($D7="E",$E7*$H7*AM$19,0))</f>
        <v>0</v>
      </c>
      <c r="AN7" s="362">
        <f>IF($D7="P",($E7+Assumptions!$D$7+Assumptions!$D$7)*$H7/12*(1+Assumptions!$D$3),IF($D7="E",$E7*$H7*AN$19,0))</f>
        <v>0</v>
      </c>
      <c r="AO7" s="362">
        <f>IF($D7="P",($E7+Assumptions!$D$7+Assumptions!$D$7)*$H7/12*(1+Assumptions!$D$3),IF($D7="E",$E7*$H7*AO$19,0))</f>
        <v>0</v>
      </c>
      <c r="AP7" s="362">
        <f>IF($D7="P",($E7+Assumptions!$D$7+Assumptions!$D$7)*$H7/12*(1+Assumptions!$D$3),IF($D7="E",$E7*$H7*AP$19,0))</f>
        <v>0</v>
      </c>
      <c r="AQ7" s="362">
        <f>IF($D7="P",($E7+Assumptions!$D$7+Assumptions!$D$7)*$H7/12*(1+Assumptions!$D$3),IF($D7="E",$E7*$H7*AQ$19,0))</f>
        <v>0</v>
      </c>
      <c r="AR7" s="362">
        <f>IF($D7="P",($E7+Assumptions!$D$7+Assumptions!$D$7)*$H7/12*(1+Assumptions!$D$3),IF($D7="E",$E7*$H7*AR$19,0))</f>
        <v>0</v>
      </c>
    </row>
    <row r="8" spans="1:44" s="68" customFormat="1" ht="11.25" customHeight="1" x14ac:dyDescent="0.2">
      <c r="A8" s="350"/>
      <c r="B8" s="350">
        <v>4</v>
      </c>
      <c r="C8" s="351"/>
      <c r="D8" s="359"/>
      <c r="E8" s="352"/>
      <c r="F8" s="353" t="s">
        <v>6</v>
      </c>
      <c r="G8" s="94">
        <f t="shared" si="1"/>
        <v>0</v>
      </c>
      <c r="H8" s="394"/>
      <c r="I8" s="360">
        <f>INDEX('MS Project Data - Forecast'!$A$4:$L$682,MATCH($B8,'MS Project Data - Forecast'!$A$4:$A$738,0),2)</f>
        <v>0</v>
      </c>
      <c r="J8" s="360">
        <f>INDEX('MS Project Data - Forecast'!$A$4:$L$682,MATCH($B8,'MS Project Data - Forecast'!$A$4:$A$738,0),3)</f>
        <v>0</v>
      </c>
      <c r="K8" s="360">
        <f>INDEX('MS Project Data - Forecast'!$A$4:$L$682,MATCH($B8,'MS Project Data - Forecast'!$A$4:$A$738,0),4)</f>
        <v>0</v>
      </c>
      <c r="L8" s="360">
        <f>INDEX('MS Project Data - Forecast'!$A$4:$L$682,MATCH($B8,'MS Project Data - Forecast'!$A$4:$A$738,0),5)</f>
        <v>0</v>
      </c>
      <c r="M8" s="360">
        <f>INDEX('MS Project Data - Forecast'!$A$4:$L$682,MATCH($B8,'MS Project Data - Forecast'!$A$4:$A$738,0),6)</f>
        <v>0</v>
      </c>
      <c r="N8" s="360">
        <f>INDEX('MS Project Data - Forecast'!$A$4:$L$682,MATCH($B8,'MS Project Data - Forecast'!$A$4:$A$738,0),7)</f>
        <v>0</v>
      </c>
      <c r="O8" s="360">
        <f>INDEX('MS Project Data - Forecast'!$A$4:$L$682,MATCH($B8,'MS Project Data - Forecast'!$A$4:$A$738,0),8)</f>
        <v>0</v>
      </c>
      <c r="P8" s="360">
        <f>INDEX('MS Project Data - Forecast'!$A$4:$L$682,MATCH($B8,'MS Project Data - Forecast'!$A$4:$A$738,0),9)</f>
        <v>0</v>
      </c>
      <c r="Q8" s="360">
        <f>INDEX('MS Project Data - Forecast'!$A$4:$L$682,MATCH($B8,'MS Project Data - Forecast'!$A$4:$A$738,0),10)</f>
        <v>0</v>
      </c>
      <c r="R8" s="360">
        <f>INDEX('MS Project Data - Forecast'!$A$4:$L$682,MATCH($B8,'MS Project Data - Forecast'!$A$4:$A$738,0),11)</f>
        <v>0</v>
      </c>
      <c r="S8" s="360">
        <f>INDEX('MS Project Data - Forecast'!$A$4:$LA$682,MATCH($B8,'MS Project Data - Forecast'!$A$4:$A$738,0),12)</f>
        <v>0</v>
      </c>
      <c r="T8" s="360">
        <f>INDEX('MS Project Data - Forecast'!$A$4:$LA$682,MATCH($B8,'MS Project Data - Forecast'!$A$4:$A$738,0),13)</f>
        <v>0</v>
      </c>
      <c r="U8" s="360">
        <f>INDEX('MS Project Data - Forecast'!$A$4:$LA$682,MATCH($B8,'MS Project Data - Forecast'!$A$4:$A$738,0),14)</f>
        <v>0</v>
      </c>
      <c r="V8" s="360">
        <f>INDEX('MS Project Data - Forecast'!$A$4:$LA$682,MATCH($B8,'MS Project Data - Forecast'!$A$4:$A$738,0),15)</f>
        <v>0</v>
      </c>
      <c r="W8" s="360">
        <f>INDEX('MS Project Data - Forecast'!$A$4:$LA$682,MATCH($B8,'MS Project Data - Forecast'!$A$4:$A$738,0),16)</f>
        <v>0</v>
      </c>
      <c r="X8" s="360">
        <f>INDEX('MS Project Data - Forecast'!$A$4:$LA$682,MATCH($B8,'MS Project Data - Forecast'!$A$4:$A$738,0),17)</f>
        <v>0</v>
      </c>
      <c r="Y8" s="360">
        <f>INDEX('MS Project Data - Forecast'!$A$4:$LA$682,MATCH($B8,'MS Project Data - Forecast'!$A$4:$A$738,0),18)</f>
        <v>0</v>
      </c>
      <c r="Z8" s="360">
        <f>INDEX('MS Project Data - Forecast'!$A$4:$LA$682,MATCH($B8,'MS Project Data - Forecast'!$A$4:$A$738,0),19)</f>
        <v>0</v>
      </c>
      <c r="AA8" s="360">
        <f>INDEX('MS Project Data - Forecast'!$A$4:$LA$682,MATCH($B8,'MS Project Data - Forecast'!$A$4:$A$738,0),20)</f>
        <v>0</v>
      </c>
      <c r="AB8" s="360">
        <f>INDEX('MS Project Data - Forecast'!$A$4:$LA$682,MATCH($B8,'MS Project Data - Forecast'!$A$4:$A$738,0),21)</f>
        <v>0</v>
      </c>
      <c r="AC8" s="360">
        <f>INDEX('MS Project Data - Forecast'!$A$4:$LA$682,MATCH($B8,'MS Project Data - Forecast'!$A$4:$A$738,0),22)</f>
        <v>0</v>
      </c>
      <c r="AD8" s="360">
        <f>INDEX('MS Project Data - Forecast'!$A$4:$LA$682,MATCH($B8,'MS Project Data - Forecast'!$A$4:$A$738,0),23)</f>
        <v>0</v>
      </c>
      <c r="AE8" s="360">
        <f>INDEX('MS Project Data - Forecast'!$A$4:$LA$682,MATCH($B8,'MS Project Data - Forecast'!$A$4:$A$738,0),24)</f>
        <v>0</v>
      </c>
      <c r="AF8" s="360">
        <f>INDEX('MS Project Data - Forecast'!$A$4:$LA$682,MATCH($B8,'MS Project Data - Forecast'!$A$4:$A$738,0),25)</f>
        <v>0</v>
      </c>
      <c r="AG8" s="360">
        <f>INDEX('MS Project Data - Forecast'!$A$4:$LA$682,MATCH($B8,'MS Project Data - Forecast'!$A$4:$A$738,0),26)</f>
        <v>0</v>
      </c>
      <c r="AH8" s="360">
        <f>INDEX('MS Project Data - Forecast'!$A$4:$LA$682,MATCH($B8,'MS Project Data - Forecast'!$A$4:$A$738,0),27)</f>
        <v>0</v>
      </c>
      <c r="AI8" s="360">
        <f>INDEX('MS Project Data - Forecast'!$A$4:$LA$682,MATCH($B8,'MS Project Data - Forecast'!$A$4:$A$738,0),28)</f>
        <v>0</v>
      </c>
      <c r="AJ8" s="360">
        <f>INDEX('MS Project Data - Forecast'!$A$4:$LA$682,MATCH($B8,'MS Project Data - Forecast'!$A$4:$A$738,0),29)</f>
        <v>0</v>
      </c>
      <c r="AK8" s="360">
        <f>INDEX('MS Project Data - Forecast'!$A$4:$LA$682,MATCH($B8,'MS Project Data - Forecast'!$A$4:$A$738,0),30)</f>
        <v>0</v>
      </c>
      <c r="AL8" s="360">
        <f>INDEX('MS Project Data - Forecast'!$A$4:$LA$682,MATCH($B8,'MS Project Data - Forecast'!$A$4:$A$738,0),31)</f>
        <v>0</v>
      </c>
      <c r="AM8" s="360">
        <f>INDEX('MS Project Data - Forecast'!$A$4:$LA$682,MATCH($B8,'MS Project Data - Forecast'!$A$4:$A$738,0),32)</f>
        <v>0</v>
      </c>
      <c r="AN8" s="360">
        <f>INDEX('MS Project Data - Forecast'!$A$4:$LA$682,MATCH($B8,'MS Project Data - Forecast'!$A$4:$A$738,0),33)</f>
        <v>0</v>
      </c>
      <c r="AO8" s="360">
        <f>INDEX('MS Project Data - Forecast'!$A$4:$LA$682,MATCH($B8,'MS Project Data - Forecast'!$A$4:$A$738,0),34)</f>
        <v>0</v>
      </c>
      <c r="AP8" s="360">
        <f>INDEX('MS Project Data - Forecast'!$A$4:$LA$682,MATCH($B8,'MS Project Data - Forecast'!$A$4:$A$738,0),35)</f>
        <v>0</v>
      </c>
      <c r="AQ8" s="360">
        <f>INDEX('MS Project Data - Forecast'!$A$4:$LA$682,MATCH($B8,'MS Project Data - Forecast'!$A$4:$A$738,0),36)</f>
        <v>0</v>
      </c>
      <c r="AR8" s="360">
        <f>INDEX('MS Project Data - Forecast'!$A$4:$LA$682,MATCH($B8,'MS Project Data - Forecast'!$A$4:$A$738,0),36)</f>
        <v>0</v>
      </c>
    </row>
    <row r="9" spans="1:44" s="68" customFormat="1" ht="10.8" thickBot="1" x14ac:dyDescent="0.25">
      <c r="A9" s="354"/>
      <c r="B9" s="354"/>
      <c r="C9" s="354"/>
      <c r="D9" s="355"/>
      <c r="E9" s="355"/>
      <c r="F9" s="356" t="s">
        <v>12</v>
      </c>
      <c r="G9" s="402">
        <f t="shared" si="1"/>
        <v>0</v>
      </c>
      <c r="H9" s="361"/>
      <c r="I9" s="362">
        <f>IF($D9="P",$E9*$H9/12*(1+Assumptions!$D$2),IF($D9="E",$E9*$H9*I$19,0))</f>
        <v>0</v>
      </c>
      <c r="J9" s="362">
        <f>IF($D9="P",$E9*$H9/12*(1+Assumptions!$D$2),IF($D9="E",$E9*$H9*J$19,0))</f>
        <v>0</v>
      </c>
      <c r="K9" s="362">
        <f>IF($D9="P",$E9*$H9/12*(1+Assumptions!$D$2),IF($D9="E",$E9*$H9*K$19,0))</f>
        <v>0</v>
      </c>
      <c r="L9" s="362">
        <f>IF($D9="P",$E9*$H9/12*(1+Assumptions!$D$2),IF($D9="E",$E9*$H9*L$19,0))</f>
        <v>0</v>
      </c>
      <c r="M9" s="362">
        <f>IF($D9="P",$E9*$H9/12*(1+Assumptions!$D$2),IF($D9="E",$E9*$H9*M$19,0))</f>
        <v>0</v>
      </c>
      <c r="N9" s="362">
        <f>IF($D9="P",$E9*$H9/12*(1+Assumptions!$D$2),IF($D9="E",$E9*$H9*N$19,0))</f>
        <v>0</v>
      </c>
      <c r="O9" s="362">
        <f>IF($D9="P",$E9*$H9/12*(1+Assumptions!$D$2),IF($D9="E",$E9*$H9*O$19,0))</f>
        <v>0</v>
      </c>
      <c r="P9" s="362">
        <f>IF($D9="P",$E9*$H9/12*(1+Assumptions!$D$2),IF($D9="E",$E9*$H9*P$19,0))</f>
        <v>0</v>
      </c>
      <c r="Q9" s="362">
        <f>IF($D9="P",$E9*$H9/12*(1+Assumptions!$D$2),IF($D9="E",$E9*$H9*Q$19,0))</f>
        <v>0</v>
      </c>
      <c r="R9" s="362">
        <f>IF($D9="P",$E9*$H9/12*(1+Assumptions!$D$2),IF($D9="E",$E9*$H9*R$19,0))</f>
        <v>0</v>
      </c>
      <c r="S9" s="362">
        <f>IF($D9="P",$E9*$H9/12*(1+Assumptions!$D$2),IF($D9="E",$E9*$H9*S$19,0))</f>
        <v>0</v>
      </c>
      <c r="T9" s="362">
        <f>IF($D9="P",$E9*$H9/12*(1+Assumptions!$D$2),IF($D9="E",$E9*$H9*T$19,0))</f>
        <v>0</v>
      </c>
      <c r="U9" s="362">
        <f>IF($D9="P",($E9+Assumptions!$D$7)*$H9/12*(1+Assumptions!$D$3),IF($D9="E",$E9*$H9*U$19,0))</f>
        <v>0</v>
      </c>
      <c r="V9" s="362">
        <f>IF($D9="P",($E9+Assumptions!$D$7)*$H9/12*(1+Assumptions!$D$3),IF($D9="E",$E9*$H9*V$19,0))</f>
        <v>0</v>
      </c>
      <c r="W9" s="362">
        <f>IF($D9="P",($E9+Assumptions!$D$7)*$H9/12*(1+Assumptions!$D$3),IF($D9="E",$E9*$H9*W$19,0))</f>
        <v>0</v>
      </c>
      <c r="X9" s="362">
        <f>IF($D9="P",($E9+Assumptions!$D$7)*$H9/12*(1+Assumptions!$D$3),IF($D9="E",$E9*$H9*X$19,0))</f>
        <v>0</v>
      </c>
      <c r="Y9" s="362">
        <f>IF($D9="P",($E9+Assumptions!$D$7)*$H9/12*(1+Assumptions!$D$3),IF($D9="E",$E9*$H9*Y$19,0))</f>
        <v>0</v>
      </c>
      <c r="Z9" s="362">
        <f>IF($D9="P",($E9+Assumptions!$D$7)*$H9/12*(1+Assumptions!$D$3),IF($D9="E",$E9*$H9*Z$19,0))</f>
        <v>0</v>
      </c>
      <c r="AA9" s="362">
        <f>IF($D9="P",($E9+Assumptions!$D$7)*$H9/12*(1+Assumptions!$D$3),IF($D9="E",$E9*$H9*AA$19,0))</f>
        <v>0</v>
      </c>
      <c r="AB9" s="362">
        <f>IF($D9="P",($E9+Assumptions!$D$7)*$H9/12*(1+Assumptions!$D$3),IF($D9="E",$E9*$H9*AB$19,0))</f>
        <v>0</v>
      </c>
      <c r="AC9" s="362">
        <f>IF($D9="P",($E9+Assumptions!$D$7)*$H9/12*(1+Assumptions!$D$3),IF($D9="E",$E9*$H9*AC$19,0))</f>
        <v>0</v>
      </c>
      <c r="AD9" s="362">
        <f>IF($D9="P",($E9+Assumptions!$D$7)*$H9/12*(1+Assumptions!$D$3),IF($D9="E",$E9*$H9*AD$19,0))</f>
        <v>0</v>
      </c>
      <c r="AE9" s="362">
        <f>IF($D9="P",($E9+Assumptions!$D$7)*$H9/12*(1+Assumptions!$D$3),IF($D9="E",$E9*$H9*AE$19,0))</f>
        <v>0</v>
      </c>
      <c r="AF9" s="362">
        <f>IF($D9="P",($E9+Assumptions!$D$7)*$H9/12*(1+Assumptions!$D$3),IF($D9="E",$E9*$H9*AF$19,0))</f>
        <v>0</v>
      </c>
      <c r="AG9" s="362">
        <f>IF($D9="P",($E9+Assumptions!$D$7+Assumptions!$D$7)*$H9/12*(1+Assumptions!$D$3),IF($D9="E",$E9*$H9*AG$19,0))</f>
        <v>0</v>
      </c>
      <c r="AH9" s="362">
        <f>IF($D9="P",($E9+Assumptions!$D$7+Assumptions!$D$7)*$H9/12*(1+Assumptions!$D$3),IF($D9="E",$E9*$H9*AH$19,0))</f>
        <v>0</v>
      </c>
      <c r="AI9" s="362">
        <f>IF($D9="P",($E9+Assumptions!$D$7+Assumptions!$D$7)*$H9/12*(1+Assumptions!$D$3),IF($D9="E",$E9*$H9*AI$19,0))</f>
        <v>0</v>
      </c>
      <c r="AJ9" s="362">
        <f>IF($D9="P",($E9+Assumptions!$D$7+Assumptions!$D$7)*$H9/12*(1+Assumptions!$D$3),IF($D9="E",$E9*$H9*AJ$19,0))</f>
        <v>0</v>
      </c>
      <c r="AK9" s="362">
        <f>IF($D9="P",($E9+Assumptions!$D$7+Assumptions!$D$7)*$H9/12*(1+Assumptions!$D$3),IF($D9="E",$E9*$H9*AK$19,0))</f>
        <v>0</v>
      </c>
      <c r="AL9" s="362">
        <f>IF($D9="P",($E9+Assumptions!$D$7+Assumptions!$D$7)*$H9/12*(1+Assumptions!$D$3),IF($D9="E",$E9*$H9*AL$19,0))</f>
        <v>0</v>
      </c>
      <c r="AM9" s="362">
        <f>IF($D9="P",($E9+Assumptions!$D$7+Assumptions!$D$7)*$H9/12*(1+Assumptions!$D$3),IF($D9="E",$E9*$H9*AM$19,0))</f>
        <v>0</v>
      </c>
      <c r="AN9" s="362">
        <f>IF($D9="P",($E9+Assumptions!$D$7+Assumptions!$D$7)*$H9/12*(1+Assumptions!$D$3),IF($D9="E",$E9*$H9*AN$19,0))</f>
        <v>0</v>
      </c>
      <c r="AO9" s="362">
        <f>IF($D9="P",($E9+Assumptions!$D$7+Assumptions!$D$7)*$H9/12*(1+Assumptions!$D$3),IF($D9="E",$E9*$H9*AO$19,0))</f>
        <v>0</v>
      </c>
      <c r="AP9" s="362">
        <f>IF($D9="P",($E9+Assumptions!$D$7+Assumptions!$D$7)*$H9/12*(1+Assumptions!$D$3),IF($D9="E",$E9*$H9*AP$19,0))</f>
        <v>0</v>
      </c>
      <c r="AQ9" s="362">
        <f>IF($D9="P",($E9+Assumptions!$D$7+Assumptions!$D$7)*$H9/12*(1+Assumptions!$D$3),IF($D9="E",$E9*$H9*AQ$19,0))</f>
        <v>0</v>
      </c>
      <c r="AR9" s="362">
        <f>IF($D9="P",($E9+Assumptions!$D$7+Assumptions!$D$7)*$H9/12*(1+Assumptions!$D$3),IF($D9="E",$E9*$H9*AR$19,0))</f>
        <v>0</v>
      </c>
    </row>
    <row r="10" spans="1:44" s="68" customFormat="1" ht="11.25" customHeight="1" x14ac:dyDescent="0.2">
      <c r="A10" s="350"/>
      <c r="B10" s="350">
        <v>5</v>
      </c>
      <c r="C10" s="351"/>
      <c r="D10" s="359"/>
      <c r="E10" s="352"/>
      <c r="F10" s="353" t="s">
        <v>6</v>
      </c>
      <c r="G10" s="94">
        <f t="shared" si="1"/>
        <v>0</v>
      </c>
      <c r="H10" s="394"/>
      <c r="I10" s="360">
        <f>INDEX('MS Project Data - Forecast'!$A$4:$L$682,MATCH($B10,'MS Project Data - Forecast'!$A$4:$A$738,0),2)</f>
        <v>0</v>
      </c>
      <c r="J10" s="360">
        <f>INDEX('MS Project Data - Forecast'!$A$4:$L$682,MATCH($B10,'MS Project Data - Forecast'!$A$4:$A$738,0),3)</f>
        <v>0</v>
      </c>
      <c r="K10" s="360">
        <f>INDEX('MS Project Data - Forecast'!$A$4:$L$682,MATCH($B10,'MS Project Data - Forecast'!$A$4:$A$738,0),4)</f>
        <v>0</v>
      </c>
      <c r="L10" s="360">
        <f>INDEX('MS Project Data - Forecast'!$A$4:$L$682,MATCH($B10,'MS Project Data - Forecast'!$A$4:$A$738,0),5)</f>
        <v>0</v>
      </c>
      <c r="M10" s="360">
        <f>INDEX('MS Project Data - Forecast'!$A$4:$L$682,MATCH($B10,'MS Project Data - Forecast'!$A$4:$A$738,0),6)</f>
        <v>0</v>
      </c>
      <c r="N10" s="360">
        <f>INDEX('MS Project Data - Forecast'!$A$4:$L$682,MATCH($B10,'MS Project Data - Forecast'!$A$4:$A$738,0),7)</f>
        <v>0</v>
      </c>
      <c r="O10" s="360">
        <f>INDEX('MS Project Data - Forecast'!$A$4:$L$682,MATCH($B10,'MS Project Data - Forecast'!$A$4:$A$738,0),8)</f>
        <v>0</v>
      </c>
      <c r="P10" s="360">
        <f>INDEX('MS Project Data - Forecast'!$A$4:$L$682,MATCH($B10,'MS Project Data - Forecast'!$A$4:$A$738,0),9)</f>
        <v>0</v>
      </c>
      <c r="Q10" s="360">
        <f>INDEX('MS Project Data - Forecast'!$A$4:$L$682,MATCH($B10,'MS Project Data - Forecast'!$A$4:$A$738,0),10)</f>
        <v>0</v>
      </c>
      <c r="R10" s="360">
        <f>INDEX('MS Project Data - Forecast'!$A$4:$L$682,MATCH($B10,'MS Project Data - Forecast'!$A$4:$A$738,0),11)</f>
        <v>0</v>
      </c>
      <c r="S10" s="360">
        <f>INDEX('MS Project Data - Forecast'!$A$4:$LA$682,MATCH($B10,'MS Project Data - Forecast'!$A$4:$A$738,0),12)</f>
        <v>0</v>
      </c>
      <c r="T10" s="360">
        <f>INDEX('MS Project Data - Forecast'!$A$4:$LA$682,MATCH($B10,'MS Project Data - Forecast'!$A$4:$A$738,0),13)</f>
        <v>0</v>
      </c>
      <c r="U10" s="360">
        <f>INDEX('MS Project Data - Forecast'!$A$4:$LA$682,MATCH($B10,'MS Project Data - Forecast'!$A$4:$A$738,0),14)</f>
        <v>0</v>
      </c>
      <c r="V10" s="360">
        <f>INDEX('MS Project Data - Forecast'!$A$4:$LA$682,MATCH($B10,'MS Project Data - Forecast'!$A$4:$A$738,0),15)</f>
        <v>0</v>
      </c>
      <c r="W10" s="360">
        <f>INDEX('MS Project Data - Forecast'!$A$4:$LA$682,MATCH($B10,'MS Project Data - Forecast'!$A$4:$A$738,0),16)</f>
        <v>0</v>
      </c>
      <c r="X10" s="360">
        <f>INDEX('MS Project Data - Forecast'!$A$4:$LA$682,MATCH($B10,'MS Project Data - Forecast'!$A$4:$A$738,0),17)</f>
        <v>0</v>
      </c>
      <c r="Y10" s="360">
        <f>INDEX('MS Project Data - Forecast'!$A$4:$LA$682,MATCH($B10,'MS Project Data - Forecast'!$A$4:$A$738,0),18)</f>
        <v>0</v>
      </c>
      <c r="Z10" s="360">
        <f>INDEX('MS Project Data - Forecast'!$A$4:$LA$682,MATCH($B10,'MS Project Data - Forecast'!$A$4:$A$738,0),19)</f>
        <v>0</v>
      </c>
      <c r="AA10" s="360">
        <f>INDEX('MS Project Data - Forecast'!$A$4:$LA$682,MATCH($B10,'MS Project Data - Forecast'!$A$4:$A$738,0),20)</f>
        <v>0</v>
      </c>
      <c r="AB10" s="360">
        <f>INDEX('MS Project Data - Forecast'!$A$4:$LA$682,MATCH($B10,'MS Project Data - Forecast'!$A$4:$A$738,0),21)</f>
        <v>0</v>
      </c>
      <c r="AC10" s="360">
        <f>INDEX('MS Project Data - Forecast'!$A$4:$LA$682,MATCH($B10,'MS Project Data - Forecast'!$A$4:$A$738,0),22)</f>
        <v>0</v>
      </c>
      <c r="AD10" s="360">
        <f>INDEX('MS Project Data - Forecast'!$A$4:$LA$682,MATCH($B10,'MS Project Data - Forecast'!$A$4:$A$738,0),23)</f>
        <v>0</v>
      </c>
      <c r="AE10" s="360">
        <f>INDEX('MS Project Data - Forecast'!$A$4:$LA$682,MATCH($B10,'MS Project Data - Forecast'!$A$4:$A$738,0),24)</f>
        <v>0</v>
      </c>
      <c r="AF10" s="360">
        <f>INDEX('MS Project Data - Forecast'!$A$4:$LA$682,MATCH($B10,'MS Project Data - Forecast'!$A$4:$A$738,0),25)</f>
        <v>0</v>
      </c>
      <c r="AG10" s="360">
        <f>INDEX('MS Project Data - Forecast'!$A$4:$LA$682,MATCH($B10,'MS Project Data - Forecast'!$A$4:$A$738,0),26)</f>
        <v>0</v>
      </c>
      <c r="AH10" s="360">
        <f>INDEX('MS Project Data - Forecast'!$A$4:$LA$682,MATCH($B10,'MS Project Data - Forecast'!$A$4:$A$738,0),27)</f>
        <v>0</v>
      </c>
      <c r="AI10" s="360">
        <f>INDEX('MS Project Data - Forecast'!$A$4:$LA$682,MATCH($B10,'MS Project Data - Forecast'!$A$4:$A$738,0),28)</f>
        <v>0</v>
      </c>
      <c r="AJ10" s="360">
        <f>INDEX('MS Project Data - Forecast'!$A$4:$LA$682,MATCH($B10,'MS Project Data - Forecast'!$A$4:$A$738,0),29)</f>
        <v>0</v>
      </c>
      <c r="AK10" s="360">
        <f>INDEX('MS Project Data - Forecast'!$A$4:$LA$682,MATCH($B10,'MS Project Data - Forecast'!$A$4:$A$738,0),30)</f>
        <v>0</v>
      </c>
      <c r="AL10" s="360">
        <f>INDEX('MS Project Data - Forecast'!$A$4:$LA$682,MATCH($B10,'MS Project Data - Forecast'!$A$4:$A$738,0),31)</f>
        <v>0</v>
      </c>
      <c r="AM10" s="360">
        <f>INDEX('MS Project Data - Forecast'!$A$4:$LA$682,MATCH($B10,'MS Project Data - Forecast'!$A$4:$A$738,0),32)</f>
        <v>0</v>
      </c>
      <c r="AN10" s="360">
        <f>INDEX('MS Project Data - Forecast'!$A$4:$LA$682,MATCH($B10,'MS Project Data - Forecast'!$A$4:$A$738,0),33)</f>
        <v>0</v>
      </c>
      <c r="AO10" s="360">
        <f>INDEX('MS Project Data - Forecast'!$A$4:$LA$682,MATCH($B10,'MS Project Data - Forecast'!$A$4:$A$738,0),34)</f>
        <v>0</v>
      </c>
      <c r="AP10" s="360">
        <f>INDEX('MS Project Data - Forecast'!$A$4:$LA$682,MATCH($B10,'MS Project Data - Forecast'!$A$4:$A$738,0),35)</f>
        <v>0</v>
      </c>
      <c r="AQ10" s="360">
        <f>INDEX('MS Project Data - Forecast'!$A$4:$LA$682,MATCH($B10,'MS Project Data - Forecast'!$A$4:$A$738,0),36)</f>
        <v>0</v>
      </c>
      <c r="AR10" s="360">
        <f>INDEX('MS Project Data - Forecast'!$A$4:$LA$682,MATCH($B10,'MS Project Data - Forecast'!$A$4:$A$738,0),36)</f>
        <v>0</v>
      </c>
    </row>
    <row r="11" spans="1:44" s="68" customFormat="1" ht="10.8" thickBot="1" x14ac:dyDescent="0.25">
      <c r="A11" s="354"/>
      <c r="B11" s="354"/>
      <c r="C11" s="354"/>
      <c r="D11" s="355"/>
      <c r="E11" s="355"/>
      <c r="F11" s="356" t="s">
        <v>12</v>
      </c>
      <c r="G11" s="402">
        <f t="shared" si="1"/>
        <v>0</v>
      </c>
      <c r="H11" s="361"/>
      <c r="I11" s="362">
        <f>IF($D11="P",$E11*$H11/12*(1+Assumptions!$D$2),IF($D11="E",$E11*$H11*I$19,0))</f>
        <v>0</v>
      </c>
      <c r="J11" s="362">
        <f>IF($D11="P",$E11*$H11/12*(1+Assumptions!$D$2),IF($D11="E",$E11*$H11*J$19,0))</f>
        <v>0</v>
      </c>
      <c r="K11" s="362">
        <f>IF($D11="P",$E11*$H11/12*(1+Assumptions!$D$2),IF($D11="E",$E11*$H11*K$19,0))</f>
        <v>0</v>
      </c>
      <c r="L11" s="362">
        <f>IF($D11="P",$E11*$H11/12*(1+Assumptions!$D$2),IF($D11="E",$E11*$H11*L$19,0))</f>
        <v>0</v>
      </c>
      <c r="M11" s="362">
        <f>IF($D11="P",$E11*$H11/12*(1+Assumptions!$D$2),IF($D11="E",$E11*$H11*M$19,0))</f>
        <v>0</v>
      </c>
      <c r="N11" s="362">
        <f>IF($D11="P",$E11*$H11/12*(1+Assumptions!$D$2),IF($D11="E",$E11*$H11*N$19,0))</f>
        <v>0</v>
      </c>
      <c r="O11" s="362">
        <f>IF($D11="P",$E11*$H11/12*(1+Assumptions!$D$2),IF($D11="E",$E11*$H11*O$19,0))</f>
        <v>0</v>
      </c>
      <c r="P11" s="362">
        <f>IF($D11="P",$E11*$H11/12*(1+Assumptions!$D$2),IF($D11="E",$E11*$H11*P$19,0))</f>
        <v>0</v>
      </c>
      <c r="Q11" s="362">
        <f>IF($D11="P",$E11*$H11/12*(1+Assumptions!$D$2),IF($D11="E",$E11*$H11*Q$19,0))</f>
        <v>0</v>
      </c>
      <c r="R11" s="362">
        <f>IF($D11="P",$E11*$H11/12*(1+Assumptions!$D$2),IF($D11="E",$E11*$H11*R$19,0))</f>
        <v>0</v>
      </c>
      <c r="S11" s="362">
        <f>IF($D11="P",$E11*$H11/12*(1+Assumptions!$D$2),IF($D11="E",$E11*$H11*S$19,0))</f>
        <v>0</v>
      </c>
      <c r="T11" s="362">
        <f>IF($D11="P",$E11*$H11/12*(1+Assumptions!$D$2),IF($D11="E",$E11*$H11*T$19,0))</f>
        <v>0</v>
      </c>
      <c r="U11" s="362">
        <f>IF($D11="P",($E11+Assumptions!$D$7)*$H11/12*(1+Assumptions!$D$3),IF($D11="E",$E11*$H11*U$19,0))</f>
        <v>0</v>
      </c>
      <c r="V11" s="362">
        <f>IF($D11="P",($E11+Assumptions!$D$7)*$H11/12*(1+Assumptions!$D$3),IF($D11="E",$E11*$H11*V$19,0))</f>
        <v>0</v>
      </c>
      <c r="W11" s="362">
        <f>IF($D11="P",($E11+Assumptions!$D$7)*$H11/12*(1+Assumptions!$D$3),IF($D11="E",$E11*$H11*W$19,0))</f>
        <v>0</v>
      </c>
      <c r="X11" s="362">
        <f>IF($D11="P",($E11+Assumptions!$D$7)*$H11/12*(1+Assumptions!$D$3),IF($D11="E",$E11*$H11*X$19,0))</f>
        <v>0</v>
      </c>
      <c r="Y11" s="362">
        <f>IF($D11="P",($E11+Assumptions!$D$7)*$H11/12*(1+Assumptions!$D$3),IF($D11="E",$E11*$H11*Y$19,0))</f>
        <v>0</v>
      </c>
      <c r="Z11" s="362">
        <f>IF($D11="P",($E11+Assumptions!$D$7)*$H11/12*(1+Assumptions!$D$3),IF($D11="E",$E11*$H11*Z$19,0))</f>
        <v>0</v>
      </c>
      <c r="AA11" s="362">
        <f>IF($D11="P",($E11+Assumptions!$D$7)*$H11/12*(1+Assumptions!$D$3),IF($D11="E",$E11*$H11*AA$19,0))</f>
        <v>0</v>
      </c>
      <c r="AB11" s="362">
        <f>IF($D11="P",($E11+Assumptions!$D$7)*$H11/12*(1+Assumptions!$D$3),IF($D11="E",$E11*$H11*AB$19,0))</f>
        <v>0</v>
      </c>
      <c r="AC11" s="362">
        <f>IF($D11="P",($E11+Assumptions!$D$7)*$H11/12*(1+Assumptions!$D$3),IF($D11="E",$E11*$H11*AC$19,0))</f>
        <v>0</v>
      </c>
      <c r="AD11" s="362">
        <f>IF($D11="P",($E11+Assumptions!$D$7)*$H11/12*(1+Assumptions!$D$3),IF($D11="E",$E11*$H11*AD$19,0))</f>
        <v>0</v>
      </c>
      <c r="AE11" s="362">
        <f>IF($D11="P",($E11+Assumptions!$D$7)*$H11/12*(1+Assumptions!$D$3),IF($D11="E",$E11*$H11*AE$19,0))</f>
        <v>0</v>
      </c>
      <c r="AF11" s="362">
        <f>IF($D11="P",($E11+Assumptions!$D$7)*$H11/12*(1+Assumptions!$D$3),IF($D11="E",$E11*$H11*AF$19,0))</f>
        <v>0</v>
      </c>
      <c r="AG11" s="362">
        <f>IF($D11="P",($E11+Assumptions!$D$7+Assumptions!$D$7)*$H11/12*(1+Assumptions!$D$3),IF($D11="E",$E11*$H11*AG$19,0))</f>
        <v>0</v>
      </c>
      <c r="AH11" s="362">
        <f>IF($D11="P",($E11+Assumptions!$D$7+Assumptions!$D$7)*$H11/12*(1+Assumptions!$D$3),IF($D11="E",$E11*$H11*AH$19,0))</f>
        <v>0</v>
      </c>
      <c r="AI11" s="362">
        <f>IF($D11="P",($E11+Assumptions!$D$7+Assumptions!$D$7)*$H11/12*(1+Assumptions!$D$3),IF($D11="E",$E11*$H11*AI$19,0))</f>
        <v>0</v>
      </c>
      <c r="AJ11" s="362">
        <f>IF($D11="P",($E11+Assumptions!$D$7+Assumptions!$D$7)*$H11/12*(1+Assumptions!$D$3),IF($D11="E",$E11*$H11*AJ$19,0))</f>
        <v>0</v>
      </c>
      <c r="AK11" s="362">
        <f>IF($D11="P",($E11+Assumptions!$D$7+Assumptions!$D$7)*$H11/12*(1+Assumptions!$D$3),IF($D11="E",$E11*$H11*AK$19,0))</f>
        <v>0</v>
      </c>
      <c r="AL11" s="362">
        <f>IF($D11="P",($E11+Assumptions!$D$7+Assumptions!$D$7)*$H11/12*(1+Assumptions!$D$3),IF($D11="E",$E11*$H11*AL$19,0))</f>
        <v>0</v>
      </c>
      <c r="AM11" s="362">
        <f>IF($D11="P",($E11+Assumptions!$D$7+Assumptions!$D$7)*$H11/12*(1+Assumptions!$D$3),IF($D11="E",$E11*$H11*AM$19,0))</f>
        <v>0</v>
      </c>
      <c r="AN11" s="362">
        <f>IF($D11="P",($E11+Assumptions!$D$7+Assumptions!$D$7)*$H11/12*(1+Assumptions!$D$3),IF($D11="E",$E11*$H11*AN$19,0))</f>
        <v>0</v>
      </c>
      <c r="AO11" s="362">
        <f>IF($D11="P",($E11+Assumptions!$D$7+Assumptions!$D$7)*$H11/12*(1+Assumptions!$D$3),IF($D11="E",$E11*$H11*AO$19,0))</f>
        <v>0</v>
      </c>
      <c r="AP11" s="362">
        <f>IF($D11="P",($E11+Assumptions!$D$7+Assumptions!$D$7)*$H11/12*(1+Assumptions!$D$3),IF($D11="E",$E11*$H11*AP$19,0))</f>
        <v>0</v>
      </c>
      <c r="AQ11" s="362">
        <f>IF($D11="P",($E11+Assumptions!$D$7+Assumptions!$D$7)*$H11/12*(1+Assumptions!$D$3),IF($D11="E",$E11*$H11*AQ$19,0))</f>
        <v>0</v>
      </c>
      <c r="AR11" s="362">
        <f>IF($D11="P",($E11+Assumptions!$D$7+Assumptions!$D$7)*$H11/12*(1+Assumptions!$D$3),IF($D11="E",$E11*$H11*AR$19,0))</f>
        <v>0</v>
      </c>
    </row>
    <row r="12" spans="1:44" s="68" customFormat="1" ht="15" customHeight="1" x14ac:dyDescent="0.2">
      <c r="A12" s="350"/>
      <c r="B12" s="350">
        <v>6</v>
      </c>
      <c r="C12" s="351"/>
      <c r="D12" s="359"/>
      <c r="E12" s="352"/>
      <c r="F12" s="353" t="s">
        <v>6</v>
      </c>
      <c r="G12" s="94">
        <f t="shared" si="1"/>
        <v>0</v>
      </c>
      <c r="H12" s="394"/>
      <c r="I12" s="360">
        <f>INDEX('MS Project Data - Forecast'!$A$4:$L$682,MATCH($B12,'MS Project Data - Forecast'!$A$4:$A$738,0),2)</f>
        <v>0</v>
      </c>
      <c r="J12" s="360">
        <f>INDEX('MS Project Data - Forecast'!$A$4:$L$682,MATCH($B12,'MS Project Data - Forecast'!$A$4:$A$738,0),3)</f>
        <v>0</v>
      </c>
      <c r="K12" s="360">
        <f>INDEX('MS Project Data - Forecast'!$A$4:$L$682,MATCH($B12,'MS Project Data - Forecast'!$A$4:$A$738,0),4)</f>
        <v>0</v>
      </c>
      <c r="L12" s="360">
        <f>INDEX('MS Project Data - Forecast'!$A$4:$L$682,MATCH($B12,'MS Project Data - Forecast'!$A$4:$A$738,0),5)</f>
        <v>0</v>
      </c>
      <c r="M12" s="360">
        <f>INDEX('MS Project Data - Forecast'!$A$4:$L$682,MATCH($B12,'MS Project Data - Forecast'!$A$4:$A$738,0),6)</f>
        <v>0</v>
      </c>
      <c r="N12" s="360">
        <f>INDEX('MS Project Data - Forecast'!$A$4:$L$682,MATCH($B12,'MS Project Data - Forecast'!$A$4:$A$738,0),7)</f>
        <v>0</v>
      </c>
      <c r="O12" s="360">
        <f>INDEX('MS Project Data - Forecast'!$A$4:$L$682,MATCH($B12,'MS Project Data - Forecast'!$A$4:$A$738,0),8)</f>
        <v>0</v>
      </c>
      <c r="P12" s="360">
        <f>INDEX('MS Project Data - Forecast'!$A$4:$L$682,MATCH($B12,'MS Project Data - Forecast'!$A$4:$A$738,0),9)</f>
        <v>0</v>
      </c>
      <c r="Q12" s="360">
        <f>INDEX('MS Project Data - Forecast'!$A$4:$L$682,MATCH($B12,'MS Project Data - Forecast'!$A$4:$A$738,0),10)</f>
        <v>0</v>
      </c>
      <c r="R12" s="360">
        <f>INDEX('MS Project Data - Forecast'!$A$4:$L$682,MATCH($B12,'MS Project Data - Forecast'!$A$4:$A$738,0),11)</f>
        <v>0</v>
      </c>
      <c r="S12" s="360">
        <f>INDEX('MS Project Data - Forecast'!$A$4:$LA$682,MATCH($B12,'MS Project Data - Forecast'!$A$4:$A$738,0),12)</f>
        <v>0</v>
      </c>
      <c r="T12" s="360">
        <f>INDEX('MS Project Data - Forecast'!$A$4:$LA$682,MATCH($B12,'MS Project Data - Forecast'!$A$4:$A$738,0),13)</f>
        <v>0</v>
      </c>
      <c r="U12" s="360">
        <f>INDEX('MS Project Data - Forecast'!$A$4:$LA$682,MATCH($B12,'MS Project Data - Forecast'!$A$4:$A$738,0),14)</f>
        <v>0</v>
      </c>
      <c r="V12" s="360">
        <f>INDEX('MS Project Data - Forecast'!$A$4:$LA$682,MATCH($B12,'MS Project Data - Forecast'!$A$4:$A$738,0),15)</f>
        <v>0</v>
      </c>
      <c r="W12" s="360">
        <f>INDEX('MS Project Data - Forecast'!$A$4:$LA$682,MATCH($B12,'MS Project Data - Forecast'!$A$4:$A$738,0),16)</f>
        <v>0</v>
      </c>
      <c r="X12" s="360">
        <f>INDEX('MS Project Data - Forecast'!$A$4:$LA$682,MATCH($B12,'MS Project Data - Forecast'!$A$4:$A$738,0),17)</f>
        <v>0</v>
      </c>
      <c r="Y12" s="360">
        <f>INDEX('MS Project Data - Forecast'!$A$4:$LA$682,MATCH($B12,'MS Project Data - Forecast'!$A$4:$A$738,0),18)</f>
        <v>0</v>
      </c>
      <c r="Z12" s="360">
        <f>INDEX('MS Project Data - Forecast'!$A$4:$LA$682,MATCH($B12,'MS Project Data - Forecast'!$A$4:$A$738,0),19)</f>
        <v>0</v>
      </c>
      <c r="AA12" s="360">
        <f>INDEX('MS Project Data - Forecast'!$A$4:$LA$682,MATCH($B12,'MS Project Data - Forecast'!$A$4:$A$738,0),20)</f>
        <v>0</v>
      </c>
      <c r="AB12" s="360">
        <f>INDEX('MS Project Data - Forecast'!$A$4:$LA$682,MATCH($B12,'MS Project Data - Forecast'!$A$4:$A$738,0),21)</f>
        <v>0</v>
      </c>
      <c r="AC12" s="360">
        <f>INDEX('MS Project Data - Forecast'!$A$4:$LA$682,MATCH($B12,'MS Project Data - Forecast'!$A$4:$A$738,0),22)</f>
        <v>0</v>
      </c>
      <c r="AD12" s="360">
        <f>INDEX('MS Project Data - Forecast'!$A$4:$LA$682,MATCH($B12,'MS Project Data - Forecast'!$A$4:$A$738,0),23)</f>
        <v>0</v>
      </c>
      <c r="AE12" s="360">
        <f>INDEX('MS Project Data - Forecast'!$A$4:$LA$682,MATCH($B12,'MS Project Data - Forecast'!$A$4:$A$738,0),24)</f>
        <v>0</v>
      </c>
      <c r="AF12" s="360">
        <f>INDEX('MS Project Data - Forecast'!$A$4:$LA$682,MATCH($B12,'MS Project Data - Forecast'!$A$4:$A$738,0),25)</f>
        <v>0</v>
      </c>
      <c r="AG12" s="360">
        <f>INDEX('MS Project Data - Forecast'!$A$4:$LA$682,MATCH($B12,'MS Project Data - Forecast'!$A$4:$A$738,0),26)</f>
        <v>0</v>
      </c>
      <c r="AH12" s="360">
        <f>INDEX('MS Project Data - Forecast'!$A$4:$LA$682,MATCH($B12,'MS Project Data - Forecast'!$A$4:$A$738,0),27)</f>
        <v>0</v>
      </c>
      <c r="AI12" s="360">
        <f>INDEX('MS Project Data - Forecast'!$A$4:$LA$682,MATCH($B12,'MS Project Data - Forecast'!$A$4:$A$738,0),28)</f>
        <v>0</v>
      </c>
      <c r="AJ12" s="360">
        <f>INDEX('MS Project Data - Forecast'!$A$4:$LA$682,MATCH($B12,'MS Project Data - Forecast'!$A$4:$A$738,0),29)</f>
        <v>0</v>
      </c>
      <c r="AK12" s="360">
        <f>INDEX('MS Project Data - Forecast'!$A$4:$LA$682,MATCH($B12,'MS Project Data - Forecast'!$A$4:$A$738,0),30)</f>
        <v>0</v>
      </c>
      <c r="AL12" s="360">
        <f>INDEX('MS Project Data - Forecast'!$A$4:$LA$682,MATCH($B12,'MS Project Data - Forecast'!$A$4:$A$738,0),31)</f>
        <v>0</v>
      </c>
      <c r="AM12" s="360">
        <f>INDEX('MS Project Data - Forecast'!$A$4:$LA$682,MATCH($B12,'MS Project Data - Forecast'!$A$4:$A$738,0),32)</f>
        <v>0</v>
      </c>
      <c r="AN12" s="360">
        <f>INDEX('MS Project Data - Forecast'!$A$4:$LA$682,MATCH($B12,'MS Project Data - Forecast'!$A$4:$A$738,0),33)</f>
        <v>0</v>
      </c>
      <c r="AO12" s="360">
        <f>INDEX('MS Project Data - Forecast'!$A$4:$LA$682,MATCH($B12,'MS Project Data - Forecast'!$A$4:$A$738,0),34)</f>
        <v>0</v>
      </c>
      <c r="AP12" s="360">
        <f>INDEX('MS Project Data - Forecast'!$A$4:$LA$682,MATCH($B12,'MS Project Data - Forecast'!$A$4:$A$738,0),35)</f>
        <v>0</v>
      </c>
      <c r="AQ12" s="360">
        <f>INDEX('MS Project Data - Forecast'!$A$4:$LA$682,MATCH($B12,'MS Project Data - Forecast'!$A$4:$A$738,0),36)</f>
        <v>0</v>
      </c>
      <c r="AR12" s="360">
        <f>INDEX('MS Project Data - Forecast'!$A$4:$LA$682,MATCH($B12,'MS Project Data - Forecast'!$A$4:$A$738,0),36)</f>
        <v>0</v>
      </c>
    </row>
    <row r="13" spans="1:44" s="68" customFormat="1" ht="10.8" thickBot="1" x14ac:dyDescent="0.25">
      <c r="A13" s="354"/>
      <c r="B13" s="354"/>
      <c r="C13" s="354"/>
      <c r="D13" s="355"/>
      <c r="E13" s="355"/>
      <c r="F13" s="356" t="s">
        <v>12</v>
      </c>
      <c r="G13" s="402">
        <f t="shared" si="1"/>
        <v>0</v>
      </c>
      <c r="H13" s="361"/>
      <c r="I13" s="362">
        <f>IF($D13="P",$E13*$H13/12*(1+Assumptions!$D$2),IF($D13="E",$E13*$H13*I$19,0))</f>
        <v>0</v>
      </c>
      <c r="J13" s="362">
        <f>IF($D13="P",$E13*$H13/12*(1+Assumptions!$D$2),IF($D13="E",$E13*$H13*J$19,0))</f>
        <v>0</v>
      </c>
      <c r="K13" s="362">
        <f>IF($D13="P",$E13*$H13/12*(1+Assumptions!$D$2),IF($D13="E",$E13*$H13*K$19,0))</f>
        <v>0</v>
      </c>
      <c r="L13" s="362">
        <f>IF($D13="P",$E13*$H13/12*(1+Assumptions!$D$2),IF($D13="E",$E13*$H13*L$19,0))</f>
        <v>0</v>
      </c>
      <c r="M13" s="362">
        <f>IF($D13="P",$E13*$H13/12*(1+Assumptions!$D$2),IF($D13="E",$E13*$H13*M$19,0))</f>
        <v>0</v>
      </c>
      <c r="N13" s="362">
        <f>IF($D13="P",$E13*$H13/12*(1+Assumptions!$D$2),IF($D13="E",$E13*$H13*N$19,0))</f>
        <v>0</v>
      </c>
      <c r="O13" s="362">
        <f>IF($D13="P",$E13*$H13/12*(1+Assumptions!$D$2),IF($D13="E",$E13*$H13*O$19,0))</f>
        <v>0</v>
      </c>
      <c r="P13" s="362">
        <f>IF($D13="P",$E13*$H13/12*(1+Assumptions!$D$2),IF($D13="E",$E13*$H13*P$19,0))</f>
        <v>0</v>
      </c>
      <c r="Q13" s="362">
        <f>IF($D13="P",$E13*$H13/12*(1+Assumptions!$D$2),IF($D13="E",$E13*$H13*Q$19,0))</f>
        <v>0</v>
      </c>
      <c r="R13" s="362">
        <f>IF($D13="P",$E13*$H13/12*(1+Assumptions!$D$2),IF($D13="E",$E13*$H13*R$19,0))</f>
        <v>0</v>
      </c>
      <c r="S13" s="362">
        <f>IF($D13="P",$E13*$H13/12*(1+Assumptions!$D$2),IF($D13="E",$E13*$H13*S$19,0))</f>
        <v>0</v>
      </c>
      <c r="T13" s="362">
        <f>IF($D13="P",$E13*$H13/12*(1+Assumptions!$D$2),IF($D13="E",$E13*$H13*T$19,0))</f>
        <v>0</v>
      </c>
      <c r="U13" s="362">
        <f>IF($D13="P",($E13+Assumptions!$D$7)*$H13/12*(1+Assumptions!$D$3),IF($D13="E",$E13*$H13*U$19,0))</f>
        <v>0</v>
      </c>
      <c r="V13" s="362">
        <f>IF($D13="P",($E13+Assumptions!$D$7)*$H13/12*(1+Assumptions!$D$3),IF($D13="E",$E13*$H13*V$19,0))</f>
        <v>0</v>
      </c>
      <c r="W13" s="362">
        <f>IF($D13="P",($E13+Assumptions!$D$7)*$H13/12*(1+Assumptions!$D$3),IF($D13="E",$E13*$H13*W$19,0))</f>
        <v>0</v>
      </c>
      <c r="X13" s="362">
        <f>IF($D13="P",($E13+Assumptions!$D$7)*$H13/12*(1+Assumptions!$D$3),IF($D13="E",$E13*$H13*X$19,0))</f>
        <v>0</v>
      </c>
      <c r="Y13" s="362">
        <f>IF($D13="P",($E13+Assumptions!$D$7)*$H13/12*(1+Assumptions!$D$3),IF($D13="E",$E13*$H13*Y$19,0))</f>
        <v>0</v>
      </c>
      <c r="Z13" s="362">
        <f>IF($D13="P",($E13+Assumptions!$D$7)*$H13/12*(1+Assumptions!$D$3),IF($D13="E",$E13*$H13*Z$19,0))</f>
        <v>0</v>
      </c>
      <c r="AA13" s="362">
        <f>IF($D13="P",($E13+Assumptions!$D$7)*$H13/12*(1+Assumptions!$D$3),IF($D13="E",$E13*$H13*AA$19,0))</f>
        <v>0</v>
      </c>
      <c r="AB13" s="362">
        <f>IF($D13="P",($E13+Assumptions!$D$7)*$H13/12*(1+Assumptions!$D$3),IF($D13="E",$E13*$H13*AB$19,0))</f>
        <v>0</v>
      </c>
      <c r="AC13" s="362">
        <f>IF($D13="P",($E13+Assumptions!$D$7)*$H13/12*(1+Assumptions!$D$3),IF($D13="E",$E13*$H13*AC$19,0))</f>
        <v>0</v>
      </c>
      <c r="AD13" s="362">
        <f>IF($D13="P",($E13+Assumptions!$D$7)*$H13/12*(1+Assumptions!$D$3),IF($D13="E",$E13*$H13*AD$19,0))</f>
        <v>0</v>
      </c>
      <c r="AE13" s="362">
        <f>IF($D13="P",($E13+Assumptions!$D$7)*$H13/12*(1+Assumptions!$D$3),IF($D13="E",$E13*$H13*AE$19,0))</f>
        <v>0</v>
      </c>
      <c r="AF13" s="362">
        <f>IF($D13="P",($E13+Assumptions!$D$7)*$H13/12*(1+Assumptions!$D$3),IF($D13="E",$E13*$H13*AF$19,0))</f>
        <v>0</v>
      </c>
      <c r="AG13" s="362">
        <f>IF($D13="P",($E13+Assumptions!$D$7+Assumptions!$D$7)*$H13/12*(1+Assumptions!$D$3),IF($D13="E",$E13*$H13*AG$19,0))</f>
        <v>0</v>
      </c>
      <c r="AH13" s="362">
        <f>IF($D13="P",($E13+Assumptions!$D$7+Assumptions!$D$7)*$H13/12*(1+Assumptions!$D$3),IF($D13="E",$E13*$H13*AH$19,0))</f>
        <v>0</v>
      </c>
      <c r="AI13" s="362">
        <f>IF($D13="P",($E13+Assumptions!$D$7+Assumptions!$D$7)*$H13/12*(1+Assumptions!$D$3),IF($D13="E",$E13*$H13*AI$19,0))</f>
        <v>0</v>
      </c>
      <c r="AJ13" s="362">
        <f>IF($D13="P",($E13+Assumptions!$D$7+Assumptions!$D$7)*$H13/12*(1+Assumptions!$D$3),IF($D13="E",$E13*$H13*AJ$19,0))</f>
        <v>0</v>
      </c>
      <c r="AK13" s="362">
        <f>IF($D13="P",($E13+Assumptions!$D$7+Assumptions!$D$7)*$H13/12*(1+Assumptions!$D$3),IF($D13="E",$E13*$H13*AK$19,0))</f>
        <v>0</v>
      </c>
      <c r="AL13" s="362">
        <f>IF($D13="P",($E13+Assumptions!$D$7+Assumptions!$D$7)*$H13/12*(1+Assumptions!$D$3),IF($D13="E",$E13*$H13*AL$19,0))</f>
        <v>0</v>
      </c>
      <c r="AM13" s="362">
        <f>IF($D13="P",($E13+Assumptions!$D$7+Assumptions!$D$7)*$H13/12*(1+Assumptions!$D$3),IF($D13="E",$E13*$H13*AM$19,0))</f>
        <v>0</v>
      </c>
      <c r="AN13" s="362">
        <f>IF($D13="P",($E13+Assumptions!$D$7+Assumptions!$D$7)*$H13/12*(1+Assumptions!$D$3),IF($D13="E",$E13*$H13*AN$19,0))</f>
        <v>0</v>
      </c>
      <c r="AO13" s="362">
        <f>IF($D13="P",($E13+Assumptions!$D$7+Assumptions!$D$7)*$H13/12*(1+Assumptions!$D$3),IF($D13="E",$E13*$H13*AO$19,0))</f>
        <v>0</v>
      </c>
      <c r="AP13" s="362">
        <f>IF($D13="P",($E13+Assumptions!$D$7+Assumptions!$D$7)*$H13/12*(1+Assumptions!$D$3),IF($D13="E",$E13*$H13*AP$19,0))</f>
        <v>0</v>
      </c>
      <c r="AQ13" s="362">
        <f>IF($D13="P",($E13+Assumptions!$D$7+Assumptions!$D$7)*$H13/12*(1+Assumptions!$D$3),IF($D13="E",$E13*$H13*AQ$19,0))</f>
        <v>0</v>
      </c>
      <c r="AR13" s="362">
        <f>IF($D13="P",($E13+Assumptions!$D$7+Assumptions!$D$7)*$H13/12*(1+Assumptions!$D$3),IF($D13="E",$E13*$H13*AR$19,0))</f>
        <v>0</v>
      </c>
    </row>
    <row r="14" spans="1:44" s="68" customFormat="1" x14ac:dyDescent="0.2">
      <c r="A14" s="350"/>
      <c r="B14" s="350">
        <v>7</v>
      </c>
      <c r="C14" s="351"/>
      <c r="D14" s="359"/>
      <c r="E14" s="352"/>
      <c r="F14" s="353" t="s">
        <v>6</v>
      </c>
      <c r="G14" s="94">
        <f t="shared" ref="G14:G15" si="2">SUM(I14:AQ14)</f>
        <v>0</v>
      </c>
      <c r="H14" s="394"/>
      <c r="I14" s="360">
        <f>INDEX('MS Project Data - Forecast'!$A$4:$L$682,MATCH($B14,'MS Project Data - Forecast'!$A$4:$A$738,0),2)</f>
        <v>0</v>
      </c>
      <c r="J14" s="360">
        <f>INDEX('MS Project Data - Forecast'!$A$4:$L$682,MATCH($B14,'MS Project Data - Forecast'!$A$4:$A$738,0),3)</f>
        <v>0</v>
      </c>
      <c r="K14" s="360">
        <f>INDEX('MS Project Data - Forecast'!$A$4:$L$682,MATCH($B14,'MS Project Data - Forecast'!$A$4:$A$738,0),4)</f>
        <v>0</v>
      </c>
      <c r="L14" s="360">
        <f>INDEX('MS Project Data - Forecast'!$A$4:$L$682,MATCH($B14,'MS Project Data - Forecast'!$A$4:$A$738,0),5)</f>
        <v>0</v>
      </c>
      <c r="M14" s="360">
        <f>INDEX('MS Project Data - Forecast'!$A$4:$L$682,MATCH($B14,'MS Project Data - Forecast'!$A$4:$A$738,0),6)</f>
        <v>0</v>
      </c>
      <c r="N14" s="360">
        <f>INDEX('MS Project Data - Forecast'!$A$4:$L$682,MATCH($B14,'MS Project Data - Forecast'!$A$4:$A$738,0),7)</f>
        <v>0</v>
      </c>
      <c r="O14" s="360">
        <f>INDEX('MS Project Data - Forecast'!$A$4:$L$682,MATCH($B14,'MS Project Data - Forecast'!$A$4:$A$738,0),8)</f>
        <v>0</v>
      </c>
      <c r="P14" s="360">
        <f>INDEX('MS Project Data - Forecast'!$A$4:$L$682,MATCH($B14,'MS Project Data - Forecast'!$A$4:$A$738,0),9)</f>
        <v>0</v>
      </c>
      <c r="Q14" s="360">
        <f>INDEX('MS Project Data - Forecast'!$A$4:$L$682,MATCH($B14,'MS Project Data - Forecast'!$A$4:$A$738,0),10)</f>
        <v>0</v>
      </c>
      <c r="R14" s="360">
        <f>INDEX('MS Project Data - Forecast'!$A$4:$L$682,MATCH($B14,'MS Project Data - Forecast'!$A$4:$A$738,0),11)</f>
        <v>0</v>
      </c>
      <c r="S14" s="360">
        <f>INDEX('MS Project Data - Forecast'!$A$4:$LA$682,MATCH($B14,'MS Project Data - Forecast'!$A$4:$A$738,0),12)</f>
        <v>0</v>
      </c>
      <c r="T14" s="360">
        <f>INDEX('MS Project Data - Forecast'!$A$4:$LA$682,MATCH($B14,'MS Project Data - Forecast'!$A$4:$A$738,0),13)</f>
        <v>0</v>
      </c>
      <c r="U14" s="360">
        <f>INDEX('MS Project Data - Forecast'!$A$4:$LA$682,MATCH($B14,'MS Project Data - Forecast'!$A$4:$A$738,0),14)</f>
        <v>0</v>
      </c>
      <c r="V14" s="360">
        <f>INDEX('MS Project Data - Forecast'!$A$4:$LA$682,MATCH($B14,'MS Project Data - Forecast'!$A$4:$A$738,0),15)</f>
        <v>0</v>
      </c>
      <c r="W14" s="360">
        <f>INDEX('MS Project Data - Forecast'!$A$4:$LA$682,MATCH($B14,'MS Project Data - Forecast'!$A$4:$A$738,0),16)</f>
        <v>0</v>
      </c>
      <c r="X14" s="360">
        <f>INDEX('MS Project Data - Forecast'!$A$4:$LA$682,MATCH($B14,'MS Project Data - Forecast'!$A$4:$A$738,0),17)</f>
        <v>0</v>
      </c>
      <c r="Y14" s="360">
        <f>INDEX('MS Project Data - Forecast'!$A$4:$LA$682,MATCH($B14,'MS Project Data - Forecast'!$A$4:$A$738,0),18)</f>
        <v>0</v>
      </c>
      <c r="Z14" s="360">
        <f>INDEX('MS Project Data - Forecast'!$A$4:$LA$682,MATCH($B14,'MS Project Data - Forecast'!$A$4:$A$738,0),19)</f>
        <v>0</v>
      </c>
      <c r="AA14" s="360">
        <f>INDEX('MS Project Data - Forecast'!$A$4:$LA$682,MATCH($B14,'MS Project Data - Forecast'!$A$4:$A$738,0),20)</f>
        <v>0</v>
      </c>
      <c r="AB14" s="360">
        <f>INDEX('MS Project Data - Forecast'!$A$4:$LA$682,MATCH($B14,'MS Project Data - Forecast'!$A$4:$A$738,0),21)</f>
        <v>0</v>
      </c>
      <c r="AC14" s="360">
        <f>INDEX('MS Project Data - Forecast'!$A$4:$LA$682,MATCH($B14,'MS Project Data - Forecast'!$A$4:$A$738,0),22)</f>
        <v>0</v>
      </c>
      <c r="AD14" s="360">
        <f>INDEX('MS Project Data - Forecast'!$A$4:$LA$682,MATCH($B14,'MS Project Data - Forecast'!$A$4:$A$738,0),23)</f>
        <v>0</v>
      </c>
      <c r="AE14" s="360">
        <f>INDEX('MS Project Data - Forecast'!$A$4:$LA$682,MATCH($B14,'MS Project Data - Forecast'!$A$4:$A$738,0),24)</f>
        <v>0</v>
      </c>
      <c r="AF14" s="360">
        <f>INDEX('MS Project Data - Forecast'!$A$4:$LA$682,MATCH($B14,'MS Project Data - Forecast'!$A$4:$A$738,0),25)</f>
        <v>0</v>
      </c>
      <c r="AG14" s="360">
        <f>INDEX('MS Project Data - Forecast'!$A$4:$LA$682,MATCH($B14,'MS Project Data - Forecast'!$A$4:$A$738,0),26)</f>
        <v>0</v>
      </c>
      <c r="AH14" s="360">
        <f>INDEX('MS Project Data - Forecast'!$A$4:$LA$682,MATCH($B14,'MS Project Data - Forecast'!$A$4:$A$738,0),27)</f>
        <v>0</v>
      </c>
      <c r="AI14" s="360">
        <f>INDEX('MS Project Data - Forecast'!$A$4:$LA$682,MATCH($B14,'MS Project Data - Forecast'!$A$4:$A$738,0),28)</f>
        <v>0</v>
      </c>
      <c r="AJ14" s="360">
        <f>INDEX('MS Project Data - Forecast'!$A$4:$LA$682,MATCH($B14,'MS Project Data - Forecast'!$A$4:$A$738,0),29)</f>
        <v>0</v>
      </c>
      <c r="AK14" s="360">
        <f>INDEX('MS Project Data - Forecast'!$A$4:$LA$682,MATCH($B14,'MS Project Data - Forecast'!$A$4:$A$738,0),30)</f>
        <v>0</v>
      </c>
      <c r="AL14" s="360">
        <f>INDEX('MS Project Data - Forecast'!$A$4:$LA$682,MATCH($B14,'MS Project Data - Forecast'!$A$4:$A$738,0),31)</f>
        <v>0</v>
      </c>
      <c r="AM14" s="360">
        <f>INDEX('MS Project Data - Forecast'!$A$4:$LA$682,MATCH($B14,'MS Project Data - Forecast'!$A$4:$A$738,0),32)</f>
        <v>0</v>
      </c>
      <c r="AN14" s="360">
        <f>INDEX('MS Project Data - Forecast'!$A$4:$LA$682,MATCH($B14,'MS Project Data - Forecast'!$A$4:$A$738,0),33)</f>
        <v>0</v>
      </c>
      <c r="AO14" s="360">
        <f>INDEX('MS Project Data - Forecast'!$A$4:$LA$682,MATCH($B14,'MS Project Data - Forecast'!$A$4:$A$738,0),34)</f>
        <v>0</v>
      </c>
      <c r="AP14" s="360">
        <f>INDEX('MS Project Data - Forecast'!$A$4:$LA$682,MATCH($B14,'MS Project Data - Forecast'!$A$4:$A$738,0),35)</f>
        <v>0</v>
      </c>
      <c r="AQ14" s="360">
        <f>INDEX('MS Project Data - Forecast'!$A$4:$LA$682,MATCH($B14,'MS Project Data - Forecast'!$A$4:$A$738,0),36)</f>
        <v>0</v>
      </c>
      <c r="AR14" s="360">
        <f>INDEX('MS Project Data - Forecast'!$A$4:$LA$682,MATCH($B14,'MS Project Data - Forecast'!$A$4:$A$738,0),36)</f>
        <v>0</v>
      </c>
    </row>
    <row r="15" spans="1:44" s="68" customFormat="1" ht="10.8" thickBot="1" x14ac:dyDescent="0.25">
      <c r="A15" s="354"/>
      <c r="B15" s="354"/>
      <c r="C15" s="354"/>
      <c r="D15" s="355"/>
      <c r="E15" s="355"/>
      <c r="F15" s="356" t="s">
        <v>12</v>
      </c>
      <c r="G15" s="402">
        <f t="shared" si="2"/>
        <v>0</v>
      </c>
      <c r="H15" s="361"/>
      <c r="I15" s="362">
        <f>IF($D15="P",$E15*$H15/12*(1+Assumptions!$D$2),IF($D15="E",$E15*$H15*I$19,0))</f>
        <v>0</v>
      </c>
      <c r="J15" s="362">
        <f>IF($D15="P",$E15*$H15/12*(1+Assumptions!$D$2),IF($D15="E",$E15*$H15*J$19,0))</f>
        <v>0</v>
      </c>
      <c r="K15" s="362">
        <f>IF($D15="P",$E15*$H15/12*(1+Assumptions!$D$2),IF($D15="E",$E15*$H15*K$19,0))</f>
        <v>0</v>
      </c>
      <c r="L15" s="362">
        <f>IF($D15="P",$E15*$H15/12*(1+Assumptions!$D$2),IF($D15="E",$E15*$H15*L$19,0))</f>
        <v>0</v>
      </c>
      <c r="M15" s="362">
        <f>IF($D15="P",$E15*$H15/12*(1+Assumptions!$D$2),IF($D15="E",$E15*$H15*M$19,0))</f>
        <v>0</v>
      </c>
      <c r="N15" s="362">
        <f>IF($D15="P",$E15*$H15/12*(1+Assumptions!$D$2),IF($D15="E",$E15*$H15*N$19,0))</f>
        <v>0</v>
      </c>
      <c r="O15" s="362">
        <f>IF($D15="P",$E15*$H15/12*(1+Assumptions!$D$2),IF($D15="E",$E15*$H15*O$19,0))</f>
        <v>0</v>
      </c>
      <c r="P15" s="362">
        <f>IF($D15="P",$E15*$H15/12*(1+Assumptions!$D$2),IF($D15="E",$E15*$H15*P$19,0))</f>
        <v>0</v>
      </c>
      <c r="Q15" s="362">
        <f>IF($D15="P",$E15*$H15/12*(1+Assumptions!$D$2),IF($D15="E",$E15*$H15*Q$19,0))</f>
        <v>0</v>
      </c>
      <c r="R15" s="362">
        <f>IF($D15="P",$E15*$H15/12*(1+Assumptions!$D$2),IF($D15="E",$E15*$H15*R$19,0))</f>
        <v>0</v>
      </c>
      <c r="S15" s="362">
        <f>IF($D15="P",$E15*$H15/12*(1+Assumptions!$D$2),IF($D15="E",$E15*$H15*S$19,0))</f>
        <v>0</v>
      </c>
      <c r="T15" s="362">
        <f>IF($D15="P",$E15*$H15/12*(1+Assumptions!$D$2),IF($D15="E",$E15*$H15*T$19,0))</f>
        <v>0</v>
      </c>
      <c r="U15" s="362">
        <f>IF($D15="P",($E15+Assumptions!$D$7)*$H15/12*(1+Assumptions!$D$3),IF($D15="E",$E15*$H15*U$19,0))</f>
        <v>0</v>
      </c>
      <c r="V15" s="362">
        <f>IF($D15="P",($E15+Assumptions!$D$7)*$H15/12*(1+Assumptions!$D$3),IF($D15="E",$E15*$H15*V$19,0))</f>
        <v>0</v>
      </c>
      <c r="W15" s="362">
        <f>IF($D15="P",($E15+Assumptions!$D$7)*$H15/12*(1+Assumptions!$D$3),IF($D15="E",$E15*$H15*W$19,0))</f>
        <v>0</v>
      </c>
      <c r="X15" s="362">
        <f>IF($D15="P",($E15+Assumptions!$D$7)*$H15/12*(1+Assumptions!$D$3),IF($D15="E",$E15*$H15*X$19,0))</f>
        <v>0</v>
      </c>
      <c r="Y15" s="362">
        <f>IF($D15="P",($E15+Assumptions!$D$7)*$H15/12*(1+Assumptions!$D$3),IF($D15="E",$E15*$H15*Y$19,0))</f>
        <v>0</v>
      </c>
      <c r="Z15" s="362">
        <f>IF($D15="P",($E15+Assumptions!$D$7)*$H15/12*(1+Assumptions!$D$3),IF($D15="E",$E15*$H15*Z$19,0))</f>
        <v>0</v>
      </c>
      <c r="AA15" s="362">
        <f>IF($D15="P",($E15+Assumptions!$D$7)*$H15/12*(1+Assumptions!$D$3),IF($D15="E",$E15*$H15*AA$19,0))</f>
        <v>0</v>
      </c>
      <c r="AB15" s="362">
        <f>IF($D15="P",($E15+Assumptions!$D$7)*$H15/12*(1+Assumptions!$D$3),IF($D15="E",$E15*$H15*AB$19,0))</f>
        <v>0</v>
      </c>
      <c r="AC15" s="362">
        <f>IF($D15="P",($E15+Assumptions!$D$7)*$H15/12*(1+Assumptions!$D$3),IF($D15="E",$E15*$H15*AC$19,0))</f>
        <v>0</v>
      </c>
      <c r="AD15" s="362">
        <f>IF($D15="P",($E15+Assumptions!$D$7)*$H15/12*(1+Assumptions!$D$3),IF($D15="E",$E15*$H15*AD$19,0))</f>
        <v>0</v>
      </c>
      <c r="AE15" s="362">
        <f>IF($D15="P",($E15+Assumptions!$D$7)*$H15/12*(1+Assumptions!$D$3),IF($D15="E",$E15*$H15*AE$19,0))</f>
        <v>0</v>
      </c>
      <c r="AF15" s="362">
        <f>IF($D15="P",($E15+Assumptions!$D$7)*$H15/12*(1+Assumptions!$D$3),IF($D15="E",$E15*$H15*AF$19,0))</f>
        <v>0</v>
      </c>
      <c r="AG15" s="362">
        <f>IF($D15="P",($E15+Assumptions!$D$7+Assumptions!$D$7)*$H15/12*(1+Assumptions!$D$3),IF($D15="E",$E15*$H15*AG$19,0))</f>
        <v>0</v>
      </c>
      <c r="AH15" s="362">
        <f>IF($D15="P",($E15+Assumptions!$D$7+Assumptions!$D$7)*$H15/12*(1+Assumptions!$D$3),IF($D15="E",$E15*$H15*AH$19,0))</f>
        <v>0</v>
      </c>
      <c r="AI15" s="362">
        <f>IF($D15="P",($E15+Assumptions!$D$7+Assumptions!$D$7)*$H15/12*(1+Assumptions!$D$3),IF($D15="E",$E15*$H15*AI$19,0))</f>
        <v>0</v>
      </c>
      <c r="AJ15" s="362">
        <f>IF($D15="P",($E15+Assumptions!$D$7+Assumptions!$D$7)*$H15/12*(1+Assumptions!$D$3),IF($D15="E",$E15*$H15*AJ$19,0))</f>
        <v>0</v>
      </c>
      <c r="AK15" s="362">
        <f>IF($D15="P",($E15+Assumptions!$D$7+Assumptions!$D$7)*$H15/12*(1+Assumptions!$D$3),IF($D15="E",$E15*$H15*AK$19,0))</f>
        <v>0</v>
      </c>
      <c r="AL15" s="362">
        <f>IF($D15="P",($E15+Assumptions!$D$7+Assumptions!$D$7)*$H15/12*(1+Assumptions!$D$3),IF($D15="E",$E15*$H15*AL$19,0))</f>
        <v>0</v>
      </c>
      <c r="AM15" s="362">
        <f>IF($D15="P",($E15+Assumptions!$D$7+Assumptions!$D$7)*$H15/12*(1+Assumptions!$D$3),IF($D15="E",$E15*$H15*AM$19,0))</f>
        <v>0</v>
      </c>
      <c r="AN15" s="362">
        <f>IF($D15="P",($E15+Assumptions!$D$7+Assumptions!$D$7)*$H15/12*(1+Assumptions!$D$3),IF($D15="E",$E15*$H15*AN$19,0))</f>
        <v>0</v>
      </c>
      <c r="AO15" s="362">
        <f>IF($D15="P",($E15+Assumptions!$D$7+Assumptions!$D$7)*$H15/12*(1+Assumptions!$D$3),IF($D15="E",$E15*$H15*AO$19,0))</f>
        <v>0</v>
      </c>
      <c r="AP15" s="362">
        <f>IF($D15="P",($E15+Assumptions!$D$7+Assumptions!$D$7)*$H15/12*(1+Assumptions!$D$3),IF($D15="E",$E15*$H15*AP$19,0))</f>
        <v>0</v>
      </c>
      <c r="AQ15" s="362">
        <f>IF($D15="P",($E15+Assumptions!$D$7+Assumptions!$D$7)*$H15/12*(1+Assumptions!$D$3),IF($D15="E",$E15*$H15*AQ$19,0))</f>
        <v>0</v>
      </c>
      <c r="AR15" s="362">
        <f>IF($D15="P",($E15+Assumptions!$D$7+Assumptions!$D$7)*$H15/12*(1+Assumptions!$D$3),IF($D15="E",$E15*$H15*AR$19,0))</f>
        <v>0</v>
      </c>
    </row>
    <row r="16" spans="1:44" s="68" customFormat="1" x14ac:dyDescent="0.2">
      <c r="A16" s="350"/>
      <c r="B16" s="350">
        <v>7</v>
      </c>
      <c r="C16" s="351"/>
      <c r="D16" s="359"/>
      <c r="E16" s="352"/>
      <c r="F16" s="353" t="s">
        <v>6</v>
      </c>
      <c r="G16" s="94">
        <f t="shared" si="1"/>
        <v>0</v>
      </c>
      <c r="H16" s="394"/>
      <c r="I16" s="360">
        <f>INDEX('MS Project Data - Forecast'!$A$4:$L$682,MATCH($B16,'MS Project Data - Forecast'!$A$4:$A$738,0),2)</f>
        <v>0</v>
      </c>
      <c r="J16" s="360">
        <f>INDEX('MS Project Data - Forecast'!$A$4:$L$682,MATCH($B16,'MS Project Data - Forecast'!$A$4:$A$738,0),3)</f>
        <v>0</v>
      </c>
      <c r="K16" s="360">
        <f>INDEX('MS Project Data - Forecast'!$A$4:$L$682,MATCH($B16,'MS Project Data - Forecast'!$A$4:$A$738,0),4)</f>
        <v>0</v>
      </c>
      <c r="L16" s="360">
        <f>INDEX('MS Project Data - Forecast'!$A$4:$L$682,MATCH($B16,'MS Project Data - Forecast'!$A$4:$A$738,0),5)</f>
        <v>0</v>
      </c>
      <c r="M16" s="360">
        <f>INDEX('MS Project Data - Forecast'!$A$4:$L$682,MATCH($B16,'MS Project Data - Forecast'!$A$4:$A$738,0),6)</f>
        <v>0</v>
      </c>
      <c r="N16" s="360">
        <f>INDEX('MS Project Data - Forecast'!$A$4:$L$682,MATCH($B16,'MS Project Data - Forecast'!$A$4:$A$738,0),7)</f>
        <v>0</v>
      </c>
      <c r="O16" s="360">
        <f>INDEX('MS Project Data - Forecast'!$A$4:$L$682,MATCH($B16,'MS Project Data - Forecast'!$A$4:$A$738,0),8)</f>
        <v>0</v>
      </c>
      <c r="P16" s="360">
        <f>INDEX('MS Project Data - Forecast'!$A$4:$L$682,MATCH($B16,'MS Project Data - Forecast'!$A$4:$A$738,0),9)</f>
        <v>0</v>
      </c>
      <c r="Q16" s="360">
        <f>INDEX('MS Project Data - Forecast'!$A$4:$L$682,MATCH($B16,'MS Project Data - Forecast'!$A$4:$A$738,0),10)</f>
        <v>0</v>
      </c>
      <c r="R16" s="360">
        <f>INDEX('MS Project Data - Forecast'!$A$4:$L$682,MATCH($B16,'MS Project Data - Forecast'!$A$4:$A$738,0),11)</f>
        <v>0</v>
      </c>
      <c r="S16" s="360">
        <f>INDEX('MS Project Data - Forecast'!$A$4:$LA$682,MATCH($B16,'MS Project Data - Forecast'!$A$4:$A$738,0),12)</f>
        <v>0</v>
      </c>
      <c r="T16" s="360">
        <f>INDEX('MS Project Data - Forecast'!$A$4:$LA$682,MATCH($B16,'MS Project Data - Forecast'!$A$4:$A$738,0),13)</f>
        <v>0</v>
      </c>
      <c r="U16" s="360">
        <f>INDEX('MS Project Data - Forecast'!$A$4:$LA$682,MATCH($B16,'MS Project Data - Forecast'!$A$4:$A$738,0),14)</f>
        <v>0</v>
      </c>
      <c r="V16" s="360">
        <f>INDEX('MS Project Data - Forecast'!$A$4:$LA$682,MATCH($B16,'MS Project Data - Forecast'!$A$4:$A$738,0),15)</f>
        <v>0</v>
      </c>
      <c r="W16" s="360">
        <f>INDEX('MS Project Data - Forecast'!$A$4:$LA$682,MATCH($B16,'MS Project Data - Forecast'!$A$4:$A$738,0),16)</f>
        <v>0</v>
      </c>
      <c r="X16" s="360">
        <f>INDEX('MS Project Data - Forecast'!$A$4:$LA$682,MATCH($B16,'MS Project Data - Forecast'!$A$4:$A$738,0),17)</f>
        <v>0</v>
      </c>
      <c r="Y16" s="360">
        <f>INDEX('MS Project Data - Forecast'!$A$4:$LA$682,MATCH($B16,'MS Project Data - Forecast'!$A$4:$A$738,0),18)</f>
        <v>0</v>
      </c>
      <c r="Z16" s="360">
        <f>INDEX('MS Project Data - Forecast'!$A$4:$LA$682,MATCH($B16,'MS Project Data - Forecast'!$A$4:$A$738,0),19)</f>
        <v>0</v>
      </c>
      <c r="AA16" s="360">
        <f>INDEX('MS Project Data - Forecast'!$A$4:$LA$682,MATCH($B16,'MS Project Data - Forecast'!$A$4:$A$738,0),20)</f>
        <v>0</v>
      </c>
      <c r="AB16" s="360">
        <f>INDEX('MS Project Data - Forecast'!$A$4:$LA$682,MATCH($B16,'MS Project Data - Forecast'!$A$4:$A$738,0),21)</f>
        <v>0</v>
      </c>
      <c r="AC16" s="360">
        <f>INDEX('MS Project Data - Forecast'!$A$4:$LA$682,MATCH($B16,'MS Project Data - Forecast'!$A$4:$A$738,0),22)</f>
        <v>0</v>
      </c>
      <c r="AD16" s="360">
        <f>INDEX('MS Project Data - Forecast'!$A$4:$LA$682,MATCH($B16,'MS Project Data - Forecast'!$A$4:$A$738,0),23)</f>
        <v>0</v>
      </c>
      <c r="AE16" s="360">
        <f>INDEX('MS Project Data - Forecast'!$A$4:$LA$682,MATCH($B16,'MS Project Data - Forecast'!$A$4:$A$738,0),24)</f>
        <v>0</v>
      </c>
      <c r="AF16" s="360">
        <f>INDEX('MS Project Data - Forecast'!$A$4:$LA$682,MATCH($B16,'MS Project Data - Forecast'!$A$4:$A$738,0),25)</f>
        <v>0</v>
      </c>
      <c r="AG16" s="360">
        <f>INDEX('MS Project Data - Forecast'!$A$4:$LA$682,MATCH($B16,'MS Project Data - Forecast'!$A$4:$A$738,0),26)</f>
        <v>0</v>
      </c>
      <c r="AH16" s="360">
        <f>INDEX('MS Project Data - Forecast'!$A$4:$LA$682,MATCH($B16,'MS Project Data - Forecast'!$A$4:$A$738,0),27)</f>
        <v>0</v>
      </c>
      <c r="AI16" s="360">
        <f>INDEX('MS Project Data - Forecast'!$A$4:$LA$682,MATCH($B16,'MS Project Data - Forecast'!$A$4:$A$738,0),28)</f>
        <v>0</v>
      </c>
      <c r="AJ16" s="360">
        <f>INDEX('MS Project Data - Forecast'!$A$4:$LA$682,MATCH($B16,'MS Project Data - Forecast'!$A$4:$A$738,0),29)</f>
        <v>0</v>
      </c>
      <c r="AK16" s="360">
        <f>INDEX('MS Project Data - Forecast'!$A$4:$LA$682,MATCH($B16,'MS Project Data - Forecast'!$A$4:$A$738,0),30)</f>
        <v>0</v>
      </c>
      <c r="AL16" s="360">
        <f>INDEX('MS Project Data - Forecast'!$A$4:$LA$682,MATCH($B16,'MS Project Data - Forecast'!$A$4:$A$738,0),31)</f>
        <v>0</v>
      </c>
      <c r="AM16" s="360">
        <f>INDEX('MS Project Data - Forecast'!$A$4:$LA$682,MATCH($B16,'MS Project Data - Forecast'!$A$4:$A$738,0),32)</f>
        <v>0</v>
      </c>
      <c r="AN16" s="360">
        <f>INDEX('MS Project Data - Forecast'!$A$4:$LA$682,MATCH($B16,'MS Project Data - Forecast'!$A$4:$A$738,0),33)</f>
        <v>0</v>
      </c>
      <c r="AO16" s="360">
        <f>INDEX('MS Project Data - Forecast'!$A$4:$LA$682,MATCH($B16,'MS Project Data - Forecast'!$A$4:$A$738,0),34)</f>
        <v>0</v>
      </c>
      <c r="AP16" s="360">
        <f>INDEX('MS Project Data - Forecast'!$A$4:$LA$682,MATCH($B16,'MS Project Data - Forecast'!$A$4:$A$738,0),35)</f>
        <v>0</v>
      </c>
      <c r="AQ16" s="360">
        <f>INDEX('MS Project Data - Forecast'!$A$4:$LA$682,MATCH($B16,'MS Project Data - Forecast'!$A$4:$A$738,0),36)</f>
        <v>0</v>
      </c>
      <c r="AR16" s="360">
        <f>INDEX('MS Project Data - Forecast'!$A$4:$LA$682,MATCH($B16,'MS Project Data - Forecast'!$A$4:$A$738,0),36)</f>
        <v>0</v>
      </c>
    </row>
    <row r="17" spans="1:44" s="68" customFormat="1" ht="10.8" thickBot="1" x14ac:dyDescent="0.25">
      <c r="A17" s="354"/>
      <c r="B17" s="354"/>
      <c r="C17" s="354"/>
      <c r="D17" s="355"/>
      <c r="E17" s="355"/>
      <c r="F17" s="356" t="s">
        <v>12</v>
      </c>
      <c r="G17" s="402">
        <f t="shared" si="1"/>
        <v>0</v>
      </c>
      <c r="H17" s="361"/>
      <c r="I17" s="362">
        <f>IF($D17="P",$E17*$H17/12*(1+Assumptions!$D$2),IF($D17="E",$E17*$H17*I$19,0))</f>
        <v>0</v>
      </c>
      <c r="J17" s="362">
        <f>IF($D17="P",$E17*$H17/12*(1+Assumptions!$D$2),IF($D17="E",$E17*$H17*J$19,0))</f>
        <v>0</v>
      </c>
      <c r="K17" s="362">
        <f>IF($D17="P",$E17*$H17/12*(1+Assumptions!$D$2),IF($D17="E",$E17*$H17*K$19,0))</f>
        <v>0</v>
      </c>
      <c r="L17" s="362">
        <f>IF($D17="P",$E17*$H17/12*(1+Assumptions!$D$2),IF($D17="E",$E17*$H17*L$19,0))</f>
        <v>0</v>
      </c>
      <c r="M17" s="362">
        <f>IF($D17="P",$E17*$H17/12*(1+Assumptions!$D$2),IF($D17="E",$E17*$H17*M$19,0))</f>
        <v>0</v>
      </c>
      <c r="N17" s="362">
        <f>IF($D17="P",$E17*$H17/12*(1+Assumptions!$D$2),IF($D17="E",$E17*$H17*N$19,0))</f>
        <v>0</v>
      </c>
      <c r="O17" s="362">
        <f>IF($D17="P",$E17*$H17/12*(1+Assumptions!$D$2),IF($D17="E",$E17*$H17*O$19,0))</f>
        <v>0</v>
      </c>
      <c r="P17" s="362">
        <f>IF($D17="P",$E17*$H17/12*(1+Assumptions!$D$2),IF($D17="E",$E17*$H17*P$19,0))</f>
        <v>0</v>
      </c>
      <c r="Q17" s="362">
        <f>IF($D17="P",$E17*$H17/12*(1+Assumptions!$D$2),IF($D17="E",$E17*$H17*Q$19,0))</f>
        <v>0</v>
      </c>
      <c r="R17" s="362">
        <f>IF($D17="P",$E17*$H17/12*(1+Assumptions!$D$2),IF($D17="E",$E17*$H17*R$19,0))</f>
        <v>0</v>
      </c>
      <c r="S17" s="362">
        <f>IF($D17="P",$E17*$H17/12*(1+Assumptions!$D$2),IF($D17="E",$E17*$H17*S$19,0))</f>
        <v>0</v>
      </c>
      <c r="T17" s="362">
        <f>IF($D17="P",$E17*$H17/12*(1+Assumptions!$D$2),IF($D17="E",$E17*$H17*T$19,0))</f>
        <v>0</v>
      </c>
      <c r="U17" s="362">
        <f>IF($D17="P",($E17+Assumptions!$D$7)*$H17/12*(1+Assumptions!$D$3),IF($D17="E",$E17*$H17*U$19,0))</f>
        <v>0</v>
      </c>
      <c r="V17" s="362">
        <f>IF($D17="P",($E17+Assumptions!$D$7)*$H17/12*(1+Assumptions!$D$3),IF($D17="E",$E17*$H17*V$19,0))</f>
        <v>0</v>
      </c>
      <c r="W17" s="362">
        <f>IF($D17="P",($E17+Assumptions!$D$7)*$H17/12*(1+Assumptions!$D$3),IF($D17="E",$E17*$H17*W$19,0))</f>
        <v>0</v>
      </c>
      <c r="X17" s="362">
        <f>IF($D17="P",($E17+Assumptions!$D$7)*$H17/12*(1+Assumptions!$D$3),IF($D17="E",$E17*$H17*X$19,0))</f>
        <v>0</v>
      </c>
      <c r="Y17" s="362">
        <f>IF($D17="P",($E17+Assumptions!$D$7)*$H17/12*(1+Assumptions!$D$3),IF($D17="E",$E17*$H17*Y$19,0))</f>
        <v>0</v>
      </c>
      <c r="Z17" s="362">
        <f>IF($D17="P",($E17+Assumptions!$D$7)*$H17/12*(1+Assumptions!$D$3),IF($D17="E",$E17*$H17*Z$19,0))</f>
        <v>0</v>
      </c>
      <c r="AA17" s="362">
        <f>IF($D17="P",($E17+Assumptions!$D$7)*$H17/12*(1+Assumptions!$D$3),IF($D17="E",$E17*$H17*AA$19,0))</f>
        <v>0</v>
      </c>
      <c r="AB17" s="362">
        <f>IF($D17="P",($E17+Assumptions!$D$7)*$H17/12*(1+Assumptions!$D$3),IF($D17="E",$E17*$H17*AB$19,0))</f>
        <v>0</v>
      </c>
      <c r="AC17" s="362">
        <f>IF($D17="P",($E17+Assumptions!$D$7)*$H17/12*(1+Assumptions!$D$3),IF($D17="E",$E17*$H17*AC$19,0))</f>
        <v>0</v>
      </c>
      <c r="AD17" s="362">
        <f>IF($D17="P",($E17+Assumptions!$D$7)*$H17/12*(1+Assumptions!$D$3),IF($D17="E",$E17*$H17*AD$19,0))</f>
        <v>0</v>
      </c>
      <c r="AE17" s="362">
        <f>IF($D17="P",($E17+Assumptions!$D$7)*$H17/12*(1+Assumptions!$D$3),IF($D17="E",$E17*$H17*AE$19,0))</f>
        <v>0</v>
      </c>
      <c r="AF17" s="362">
        <f>IF($D17="P",($E17+Assumptions!$D$7)*$H17/12*(1+Assumptions!$D$3),IF($D17="E",$E17*$H17*AF$19,0))</f>
        <v>0</v>
      </c>
      <c r="AG17" s="362">
        <f>IF($D17="P",($E17+Assumptions!$D$7+Assumptions!$D$7)*$H17/12*(1+Assumptions!$D$3),IF($D17="E",$E17*$H17*AG$19,0))</f>
        <v>0</v>
      </c>
      <c r="AH17" s="362">
        <f>IF($D17="P",($E17+Assumptions!$D$7+Assumptions!$D$7)*$H17/12*(1+Assumptions!$D$3),IF($D17="E",$E17*$H17*AH$19,0))</f>
        <v>0</v>
      </c>
      <c r="AI17" s="362">
        <f>IF($D17="P",($E17+Assumptions!$D$7+Assumptions!$D$7)*$H17/12*(1+Assumptions!$D$3),IF($D17="E",$E17*$H17*AI$19,0))</f>
        <v>0</v>
      </c>
      <c r="AJ17" s="362">
        <f>IF($D17="P",($E17+Assumptions!$D$7+Assumptions!$D$7)*$H17/12*(1+Assumptions!$D$3),IF($D17="E",$E17*$H17*AJ$19,0))</f>
        <v>0</v>
      </c>
      <c r="AK17" s="362">
        <f>IF($D17="P",($E17+Assumptions!$D$7+Assumptions!$D$7)*$H17/12*(1+Assumptions!$D$3),IF($D17="E",$E17*$H17*AK$19,0))</f>
        <v>0</v>
      </c>
      <c r="AL17" s="362">
        <f>IF($D17="P",($E17+Assumptions!$D$7+Assumptions!$D$7)*$H17/12*(1+Assumptions!$D$3),IF($D17="E",$E17*$H17*AL$19,0))</f>
        <v>0</v>
      </c>
      <c r="AM17" s="362">
        <f>IF($D17="P",($E17+Assumptions!$D$7+Assumptions!$D$7)*$H17/12*(1+Assumptions!$D$3),IF($D17="E",$E17*$H17*AM$19,0))</f>
        <v>0</v>
      </c>
      <c r="AN17" s="362">
        <f>IF($D17="P",($E17+Assumptions!$D$7+Assumptions!$D$7)*$H17/12*(1+Assumptions!$D$3),IF($D17="E",$E17*$H17*AN$19,0))</f>
        <v>0</v>
      </c>
      <c r="AO17" s="362">
        <f>IF($D17="P",($E17+Assumptions!$D$7+Assumptions!$D$7)*$H17/12*(1+Assumptions!$D$3),IF($D17="E",$E17*$H17*AO$19,0))</f>
        <v>0</v>
      </c>
      <c r="AP17" s="362">
        <f>IF($D17="P",($E17+Assumptions!$D$7+Assumptions!$D$7)*$H17/12*(1+Assumptions!$D$3),IF($D17="E",$E17*$H17*AP$19,0))</f>
        <v>0</v>
      </c>
      <c r="AQ17" s="362">
        <f>IF($D17="P",($E17+Assumptions!$D$7+Assumptions!$D$7)*$H17/12*(1+Assumptions!$D$3),IF($D17="E",$E17*$H17*AQ$19,0))</f>
        <v>0</v>
      </c>
      <c r="AR17" s="362">
        <f>IF($D17="P",($E17+Assumptions!$D$7+Assumptions!$D$7)*$H17/12*(1+Assumptions!$D$3),IF($D17="E",$E17*$H17*AR$19,0))</f>
        <v>0</v>
      </c>
    </row>
    <row r="18" spans="1:44" ht="14.4" x14ac:dyDescent="0.3">
      <c r="B18" s="7"/>
      <c r="C18" s="7"/>
      <c r="F18" s="8"/>
      <c r="G18" s="9"/>
      <c r="H18" s="9"/>
      <c r="I18" s="9"/>
      <c r="J18" s="9"/>
      <c r="K18" s="9"/>
      <c r="L18" s="9"/>
      <c r="M18" s="9"/>
      <c r="N18" s="9"/>
      <c r="O18" s="9"/>
    </row>
    <row r="19" spans="1:44" x14ac:dyDescent="0.2">
      <c r="C19" s="46" t="s">
        <v>160</v>
      </c>
      <c r="D19" s="47"/>
      <c r="E19" s="47"/>
      <c r="F19" s="48"/>
      <c r="G19" s="47"/>
      <c r="H19" s="47"/>
      <c r="I19" s="47">
        <v>184</v>
      </c>
      <c r="J19" s="47">
        <v>168</v>
      </c>
      <c r="K19" s="47">
        <v>168</v>
      </c>
      <c r="L19" s="47">
        <v>184</v>
      </c>
      <c r="M19" s="47">
        <v>136</v>
      </c>
      <c r="N19" s="47">
        <v>168</v>
      </c>
      <c r="O19" s="47">
        <v>160</v>
      </c>
      <c r="P19" s="47">
        <v>160</v>
      </c>
      <c r="Q19" s="47">
        <v>176</v>
      </c>
      <c r="R19" s="47">
        <v>176</v>
      </c>
      <c r="S19" s="47">
        <v>160</v>
      </c>
      <c r="T19" s="47">
        <v>176</v>
      </c>
      <c r="U19" s="47">
        <v>176</v>
      </c>
      <c r="V19" s="47">
        <v>168</v>
      </c>
      <c r="W19" s="47">
        <v>168</v>
      </c>
      <c r="X19" s="47">
        <v>176</v>
      </c>
      <c r="Y19" s="47">
        <v>144</v>
      </c>
      <c r="Z19" s="47">
        <v>168</v>
      </c>
      <c r="AA19" s="47">
        <v>160</v>
      </c>
      <c r="AB19" s="47">
        <v>168</v>
      </c>
      <c r="AC19" s="47">
        <v>192</v>
      </c>
      <c r="AD19" s="47">
        <v>168</v>
      </c>
      <c r="AE19" s="47">
        <v>168</v>
      </c>
      <c r="AF19" s="47">
        <v>176</v>
      </c>
      <c r="AG19" s="47">
        <v>160</v>
      </c>
      <c r="AH19" s="47">
        <v>184</v>
      </c>
      <c r="AI19" s="47">
        <v>168</v>
      </c>
      <c r="AJ19" s="47">
        <v>168</v>
      </c>
      <c r="AK19" s="47">
        <v>152</v>
      </c>
      <c r="AL19" s="47">
        <v>176</v>
      </c>
      <c r="AM19" s="47">
        <v>168</v>
      </c>
      <c r="AN19" s="47">
        <v>160</v>
      </c>
      <c r="AO19" s="47">
        <v>184</v>
      </c>
      <c r="AP19" s="47">
        <v>160</v>
      </c>
      <c r="AQ19" s="47">
        <v>176</v>
      </c>
      <c r="AR19" s="47">
        <v>176</v>
      </c>
    </row>
    <row r="20" spans="1:44" x14ac:dyDescent="0.2">
      <c r="B20" s="10"/>
      <c r="C20" s="10"/>
    </row>
    <row r="21" spans="1:44" x14ac:dyDescent="0.2">
      <c r="B21" s="364" t="s">
        <v>156</v>
      </c>
      <c r="C21" s="365" t="s">
        <v>10</v>
      </c>
      <c r="D21" s="366"/>
      <c r="E21" s="366"/>
      <c r="F21" s="366"/>
      <c r="G21" s="366"/>
      <c r="H21" s="367"/>
      <c r="I21" s="96">
        <f t="shared" ref="I21:L21" si="3">I24+I26</f>
        <v>0</v>
      </c>
      <c r="J21" s="92">
        <f t="shared" si="3"/>
        <v>0</v>
      </c>
      <c r="K21" s="92">
        <f t="shared" si="3"/>
        <v>0</v>
      </c>
      <c r="L21" s="92">
        <f t="shared" si="3"/>
        <v>0</v>
      </c>
      <c r="M21" s="92">
        <f>M24+M26</f>
        <v>0</v>
      </c>
      <c r="N21" s="92">
        <f t="shared" ref="N21:AR21" si="4">N24+N26</f>
        <v>0</v>
      </c>
      <c r="O21" s="92">
        <f t="shared" si="4"/>
        <v>0</v>
      </c>
      <c r="P21" s="92">
        <f t="shared" si="4"/>
        <v>0</v>
      </c>
      <c r="Q21" s="92">
        <f t="shared" si="4"/>
        <v>0</v>
      </c>
      <c r="R21" s="92">
        <f t="shared" si="4"/>
        <v>0</v>
      </c>
      <c r="S21" s="92">
        <f t="shared" si="4"/>
        <v>0</v>
      </c>
      <c r="T21" s="92">
        <f t="shared" si="4"/>
        <v>0</v>
      </c>
      <c r="U21" s="92">
        <f t="shared" si="4"/>
        <v>0</v>
      </c>
      <c r="V21" s="92">
        <f t="shared" si="4"/>
        <v>0</v>
      </c>
      <c r="W21" s="92">
        <f t="shared" si="4"/>
        <v>0</v>
      </c>
      <c r="X21" s="92">
        <f t="shared" si="4"/>
        <v>0</v>
      </c>
      <c r="Y21" s="92">
        <f t="shared" si="4"/>
        <v>0</v>
      </c>
      <c r="Z21" s="92">
        <f t="shared" si="4"/>
        <v>0</v>
      </c>
      <c r="AA21" s="92">
        <f t="shared" si="4"/>
        <v>0</v>
      </c>
      <c r="AB21" s="92">
        <f t="shared" si="4"/>
        <v>0</v>
      </c>
      <c r="AC21" s="92">
        <f t="shared" si="4"/>
        <v>0</v>
      </c>
      <c r="AD21" s="92">
        <f t="shared" si="4"/>
        <v>0</v>
      </c>
      <c r="AE21" s="92">
        <f t="shared" si="4"/>
        <v>0</v>
      </c>
      <c r="AF21" s="92">
        <f t="shared" si="4"/>
        <v>0</v>
      </c>
      <c r="AG21" s="92">
        <f t="shared" si="4"/>
        <v>0</v>
      </c>
      <c r="AH21" s="92">
        <f t="shared" si="4"/>
        <v>0</v>
      </c>
      <c r="AI21" s="92">
        <f t="shared" si="4"/>
        <v>0</v>
      </c>
      <c r="AJ21" s="92">
        <f t="shared" si="4"/>
        <v>0</v>
      </c>
      <c r="AK21" s="92">
        <f t="shared" si="4"/>
        <v>0</v>
      </c>
      <c r="AL21" s="92">
        <f t="shared" si="4"/>
        <v>0</v>
      </c>
      <c r="AM21" s="92">
        <f t="shared" si="4"/>
        <v>0</v>
      </c>
      <c r="AN21" s="92">
        <f t="shared" si="4"/>
        <v>0</v>
      </c>
      <c r="AO21" s="92">
        <f t="shared" si="4"/>
        <v>0</v>
      </c>
      <c r="AP21" s="92">
        <f t="shared" si="4"/>
        <v>0</v>
      </c>
      <c r="AQ21" s="92">
        <f t="shared" si="4"/>
        <v>0</v>
      </c>
      <c r="AR21" s="92">
        <f t="shared" si="4"/>
        <v>0</v>
      </c>
    </row>
    <row r="22" spans="1:44" x14ac:dyDescent="0.2">
      <c r="B22" s="364"/>
      <c r="C22" s="368" t="s">
        <v>9</v>
      </c>
      <c r="D22" s="369"/>
      <c r="E22" s="369"/>
      <c r="F22" s="369"/>
      <c r="G22" s="369"/>
      <c r="H22" s="370"/>
      <c r="I22" s="93">
        <f t="shared" ref="I22:L22" si="5">I25+I27</f>
        <v>0</v>
      </c>
      <c r="J22" s="93">
        <f t="shared" si="5"/>
        <v>0</v>
      </c>
      <c r="K22" s="93">
        <f t="shared" si="5"/>
        <v>0</v>
      </c>
      <c r="L22" s="93">
        <f t="shared" si="5"/>
        <v>0</v>
      </c>
      <c r="M22" s="93">
        <f>M25+M27</f>
        <v>0</v>
      </c>
      <c r="N22" s="93">
        <f t="shared" ref="N22:AR22" si="6">N25+N27</f>
        <v>0</v>
      </c>
      <c r="O22" s="93">
        <f t="shared" si="6"/>
        <v>0</v>
      </c>
      <c r="P22" s="93">
        <f t="shared" si="6"/>
        <v>0</v>
      </c>
      <c r="Q22" s="93">
        <f t="shared" si="6"/>
        <v>0</v>
      </c>
      <c r="R22" s="93">
        <f t="shared" si="6"/>
        <v>0</v>
      </c>
      <c r="S22" s="93">
        <f t="shared" si="6"/>
        <v>0</v>
      </c>
      <c r="T22" s="93">
        <f t="shared" si="6"/>
        <v>0</v>
      </c>
      <c r="U22" s="93">
        <f t="shared" si="6"/>
        <v>0</v>
      </c>
      <c r="V22" s="93">
        <f t="shared" si="6"/>
        <v>0</v>
      </c>
      <c r="W22" s="93">
        <f t="shared" si="6"/>
        <v>0</v>
      </c>
      <c r="X22" s="93">
        <f t="shared" si="6"/>
        <v>0</v>
      </c>
      <c r="Y22" s="93">
        <f t="shared" si="6"/>
        <v>0</v>
      </c>
      <c r="Z22" s="93">
        <f t="shared" si="6"/>
        <v>0</v>
      </c>
      <c r="AA22" s="93">
        <f t="shared" si="6"/>
        <v>0</v>
      </c>
      <c r="AB22" s="93">
        <f t="shared" si="6"/>
        <v>0</v>
      </c>
      <c r="AC22" s="93">
        <f t="shared" si="6"/>
        <v>0</v>
      </c>
      <c r="AD22" s="93">
        <f t="shared" si="6"/>
        <v>0</v>
      </c>
      <c r="AE22" s="93">
        <f t="shared" si="6"/>
        <v>0</v>
      </c>
      <c r="AF22" s="93">
        <f t="shared" si="6"/>
        <v>0</v>
      </c>
      <c r="AG22" s="93">
        <f t="shared" si="6"/>
        <v>0</v>
      </c>
      <c r="AH22" s="93">
        <f t="shared" si="6"/>
        <v>0</v>
      </c>
      <c r="AI22" s="93">
        <f t="shared" si="6"/>
        <v>0</v>
      </c>
      <c r="AJ22" s="93">
        <f t="shared" si="6"/>
        <v>0</v>
      </c>
      <c r="AK22" s="93">
        <f t="shared" si="6"/>
        <v>0</v>
      </c>
      <c r="AL22" s="93">
        <f t="shared" si="6"/>
        <v>0</v>
      </c>
      <c r="AM22" s="93">
        <f t="shared" si="6"/>
        <v>0</v>
      </c>
      <c r="AN22" s="93">
        <f t="shared" si="6"/>
        <v>0</v>
      </c>
      <c r="AO22" s="93">
        <f t="shared" si="6"/>
        <v>0</v>
      </c>
      <c r="AP22" s="93">
        <f t="shared" si="6"/>
        <v>0</v>
      </c>
      <c r="AQ22" s="93">
        <f t="shared" si="6"/>
        <v>0</v>
      </c>
      <c r="AR22" s="93">
        <f t="shared" si="6"/>
        <v>0</v>
      </c>
    </row>
    <row r="23" spans="1:44" x14ac:dyDescent="0.2">
      <c r="B23" s="97"/>
      <c r="C23" s="69"/>
      <c r="D23" s="69"/>
      <c r="E23" s="69"/>
      <c r="F23" s="69"/>
      <c r="G23" s="69"/>
      <c r="H23" s="70"/>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row>
    <row r="24" spans="1:44" x14ac:dyDescent="0.2">
      <c r="B24" s="364" t="s">
        <v>154</v>
      </c>
      <c r="C24" s="365" t="s">
        <v>10</v>
      </c>
      <c r="D24" s="371"/>
      <c r="E24" s="371"/>
      <c r="F24" s="371"/>
      <c r="G24" s="371"/>
      <c r="H24" s="372"/>
      <c r="I24" s="92">
        <f t="shared" ref="I24:L24" si="7">SUMIFS(I$2:I$17,$D$2:$D$17,"P",$F$2:$F$17,"C")</f>
        <v>0</v>
      </c>
      <c r="J24" s="92">
        <f t="shared" si="7"/>
        <v>0</v>
      </c>
      <c r="K24" s="92">
        <f t="shared" si="7"/>
        <v>0</v>
      </c>
      <c r="L24" s="92">
        <f t="shared" si="7"/>
        <v>0</v>
      </c>
      <c r="M24" s="92">
        <f>SUMIFS(M$2:M$17,$D$2:$D$17,"P",$F$2:$F$17,"C")</f>
        <v>0</v>
      </c>
      <c r="N24" s="92">
        <f t="shared" ref="N24:AR24" si="8">SUMIFS(N$2:N$17,$D$2:$D$17,"P",$F$2:$F$17,"C")</f>
        <v>0</v>
      </c>
      <c r="O24" s="92">
        <f t="shared" si="8"/>
        <v>0</v>
      </c>
      <c r="P24" s="92">
        <f t="shared" si="8"/>
        <v>0</v>
      </c>
      <c r="Q24" s="92">
        <f t="shared" si="8"/>
        <v>0</v>
      </c>
      <c r="R24" s="92">
        <f t="shared" si="8"/>
        <v>0</v>
      </c>
      <c r="S24" s="92">
        <f t="shared" si="8"/>
        <v>0</v>
      </c>
      <c r="T24" s="92">
        <f t="shared" si="8"/>
        <v>0</v>
      </c>
      <c r="U24" s="92">
        <f t="shared" si="8"/>
        <v>0</v>
      </c>
      <c r="V24" s="92">
        <f t="shared" si="8"/>
        <v>0</v>
      </c>
      <c r="W24" s="92">
        <f t="shared" si="8"/>
        <v>0</v>
      </c>
      <c r="X24" s="92">
        <f t="shared" si="8"/>
        <v>0</v>
      </c>
      <c r="Y24" s="92">
        <f t="shared" si="8"/>
        <v>0</v>
      </c>
      <c r="Z24" s="92">
        <f t="shared" si="8"/>
        <v>0</v>
      </c>
      <c r="AA24" s="92">
        <f t="shared" si="8"/>
        <v>0</v>
      </c>
      <c r="AB24" s="92">
        <f t="shared" si="8"/>
        <v>0</v>
      </c>
      <c r="AC24" s="92">
        <f t="shared" si="8"/>
        <v>0</v>
      </c>
      <c r="AD24" s="92">
        <f t="shared" si="8"/>
        <v>0</v>
      </c>
      <c r="AE24" s="92">
        <f t="shared" si="8"/>
        <v>0</v>
      </c>
      <c r="AF24" s="92">
        <f t="shared" si="8"/>
        <v>0</v>
      </c>
      <c r="AG24" s="92">
        <f t="shared" si="8"/>
        <v>0</v>
      </c>
      <c r="AH24" s="92">
        <f t="shared" si="8"/>
        <v>0</v>
      </c>
      <c r="AI24" s="92">
        <f t="shared" si="8"/>
        <v>0</v>
      </c>
      <c r="AJ24" s="92">
        <f t="shared" si="8"/>
        <v>0</v>
      </c>
      <c r="AK24" s="92">
        <f t="shared" si="8"/>
        <v>0</v>
      </c>
      <c r="AL24" s="92">
        <f t="shared" si="8"/>
        <v>0</v>
      </c>
      <c r="AM24" s="92">
        <f t="shared" si="8"/>
        <v>0</v>
      </c>
      <c r="AN24" s="92">
        <f t="shared" si="8"/>
        <v>0</v>
      </c>
      <c r="AO24" s="92">
        <f t="shared" si="8"/>
        <v>0</v>
      </c>
      <c r="AP24" s="92">
        <f t="shared" si="8"/>
        <v>0</v>
      </c>
      <c r="AQ24" s="92">
        <f t="shared" si="8"/>
        <v>0</v>
      </c>
      <c r="AR24" s="92">
        <f t="shared" si="8"/>
        <v>0</v>
      </c>
    </row>
    <row r="25" spans="1:44" x14ac:dyDescent="0.2">
      <c r="B25" s="364"/>
      <c r="C25" s="368" t="s">
        <v>9</v>
      </c>
      <c r="D25" s="369"/>
      <c r="E25" s="369"/>
      <c r="F25" s="369"/>
      <c r="G25" s="369"/>
      <c r="H25" s="370"/>
      <c r="I25" s="93">
        <f t="shared" ref="I25:L25" si="9">SUMIFS(I$2:I$17,$D$2:$D$17,"P",$F$2:$F$17,"H")</f>
        <v>0</v>
      </c>
      <c r="J25" s="93">
        <f t="shared" si="9"/>
        <v>0</v>
      </c>
      <c r="K25" s="93">
        <f t="shared" si="9"/>
        <v>0</v>
      </c>
      <c r="L25" s="93">
        <f t="shared" si="9"/>
        <v>0</v>
      </c>
      <c r="M25" s="93">
        <f>SUMIFS(M$2:M$17,$D$2:$D$17,"P",$F$2:$F$17,"H")</f>
        <v>0</v>
      </c>
      <c r="N25" s="93">
        <f t="shared" ref="N25:AR25" si="10">SUMIFS(N$2:N$17,$D$2:$D$17,"P",$F$2:$F$17,"H")</f>
        <v>0</v>
      </c>
      <c r="O25" s="93">
        <f t="shared" si="10"/>
        <v>0</v>
      </c>
      <c r="P25" s="93">
        <f t="shared" si="10"/>
        <v>0</v>
      </c>
      <c r="Q25" s="93">
        <f t="shared" si="10"/>
        <v>0</v>
      </c>
      <c r="R25" s="93">
        <f t="shared" si="10"/>
        <v>0</v>
      </c>
      <c r="S25" s="93">
        <f t="shared" si="10"/>
        <v>0</v>
      </c>
      <c r="T25" s="93">
        <f t="shared" si="10"/>
        <v>0</v>
      </c>
      <c r="U25" s="93">
        <f t="shared" si="10"/>
        <v>0</v>
      </c>
      <c r="V25" s="93">
        <f t="shared" si="10"/>
        <v>0</v>
      </c>
      <c r="W25" s="93">
        <f t="shared" si="10"/>
        <v>0</v>
      </c>
      <c r="X25" s="93">
        <f t="shared" si="10"/>
        <v>0</v>
      </c>
      <c r="Y25" s="93">
        <f t="shared" si="10"/>
        <v>0</v>
      </c>
      <c r="Z25" s="93">
        <f t="shared" si="10"/>
        <v>0</v>
      </c>
      <c r="AA25" s="93">
        <f t="shared" si="10"/>
        <v>0</v>
      </c>
      <c r="AB25" s="93">
        <f t="shared" si="10"/>
        <v>0</v>
      </c>
      <c r="AC25" s="93">
        <f t="shared" si="10"/>
        <v>0</v>
      </c>
      <c r="AD25" s="93">
        <f t="shared" si="10"/>
        <v>0</v>
      </c>
      <c r="AE25" s="93">
        <f t="shared" si="10"/>
        <v>0</v>
      </c>
      <c r="AF25" s="93">
        <f t="shared" si="10"/>
        <v>0</v>
      </c>
      <c r="AG25" s="93">
        <f t="shared" si="10"/>
        <v>0</v>
      </c>
      <c r="AH25" s="93">
        <f t="shared" si="10"/>
        <v>0</v>
      </c>
      <c r="AI25" s="93">
        <f t="shared" si="10"/>
        <v>0</v>
      </c>
      <c r="AJ25" s="93">
        <f t="shared" si="10"/>
        <v>0</v>
      </c>
      <c r="AK25" s="93">
        <f t="shared" si="10"/>
        <v>0</v>
      </c>
      <c r="AL25" s="93">
        <f t="shared" si="10"/>
        <v>0</v>
      </c>
      <c r="AM25" s="93">
        <f t="shared" si="10"/>
        <v>0</v>
      </c>
      <c r="AN25" s="93">
        <f t="shared" si="10"/>
        <v>0</v>
      </c>
      <c r="AO25" s="93">
        <f t="shared" si="10"/>
        <v>0</v>
      </c>
      <c r="AP25" s="93">
        <f t="shared" si="10"/>
        <v>0</v>
      </c>
      <c r="AQ25" s="93">
        <f t="shared" si="10"/>
        <v>0</v>
      </c>
      <c r="AR25" s="93">
        <f t="shared" si="10"/>
        <v>0</v>
      </c>
    </row>
    <row r="26" spans="1:44" x14ac:dyDescent="0.2">
      <c r="B26" s="364" t="s">
        <v>155</v>
      </c>
      <c r="C26" s="365" t="s">
        <v>10</v>
      </c>
      <c r="D26" s="371"/>
      <c r="E26" s="371"/>
      <c r="F26" s="371"/>
      <c r="G26" s="371"/>
      <c r="H26" s="372"/>
      <c r="I26" s="92">
        <f t="shared" ref="I26:L26" si="11">SUMIFS(I$2:I$17,$D$2:$D$17,"E",$F$2:$F$17,"C")</f>
        <v>0</v>
      </c>
      <c r="J26" s="92">
        <f t="shared" si="11"/>
        <v>0</v>
      </c>
      <c r="K26" s="92">
        <f t="shared" si="11"/>
        <v>0</v>
      </c>
      <c r="L26" s="92">
        <f t="shared" si="11"/>
        <v>0</v>
      </c>
      <c r="M26" s="92">
        <f>SUMIFS(M$2:M$17,$D$2:$D$17,"E",$F$2:$F$17,"C")</f>
        <v>0</v>
      </c>
      <c r="N26" s="92">
        <f t="shared" ref="N26:AR26" si="12">SUMIFS(N$2:N$17,$D$2:$D$17,"E",$F$2:$F$17,"C")</f>
        <v>0</v>
      </c>
      <c r="O26" s="92">
        <f t="shared" si="12"/>
        <v>0</v>
      </c>
      <c r="P26" s="92">
        <f t="shared" si="12"/>
        <v>0</v>
      </c>
      <c r="Q26" s="92">
        <f t="shared" si="12"/>
        <v>0</v>
      </c>
      <c r="R26" s="92">
        <f t="shared" si="12"/>
        <v>0</v>
      </c>
      <c r="S26" s="92">
        <f t="shared" si="12"/>
        <v>0</v>
      </c>
      <c r="T26" s="92">
        <f t="shared" si="12"/>
        <v>0</v>
      </c>
      <c r="U26" s="92">
        <f t="shared" si="12"/>
        <v>0</v>
      </c>
      <c r="V26" s="92">
        <f t="shared" si="12"/>
        <v>0</v>
      </c>
      <c r="W26" s="92">
        <f t="shared" si="12"/>
        <v>0</v>
      </c>
      <c r="X26" s="92">
        <f t="shared" si="12"/>
        <v>0</v>
      </c>
      <c r="Y26" s="92">
        <f t="shared" si="12"/>
        <v>0</v>
      </c>
      <c r="Z26" s="92">
        <f t="shared" si="12"/>
        <v>0</v>
      </c>
      <c r="AA26" s="92">
        <f t="shared" si="12"/>
        <v>0</v>
      </c>
      <c r="AB26" s="92">
        <f t="shared" si="12"/>
        <v>0</v>
      </c>
      <c r="AC26" s="92">
        <f t="shared" si="12"/>
        <v>0</v>
      </c>
      <c r="AD26" s="92">
        <f t="shared" si="12"/>
        <v>0</v>
      </c>
      <c r="AE26" s="92">
        <f t="shared" si="12"/>
        <v>0</v>
      </c>
      <c r="AF26" s="92">
        <f t="shared" si="12"/>
        <v>0</v>
      </c>
      <c r="AG26" s="92">
        <f t="shared" si="12"/>
        <v>0</v>
      </c>
      <c r="AH26" s="92">
        <f t="shared" si="12"/>
        <v>0</v>
      </c>
      <c r="AI26" s="92">
        <f t="shared" si="12"/>
        <v>0</v>
      </c>
      <c r="AJ26" s="92">
        <f t="shared" si="12"/>
        <v>0</v>
      </c>
      <c r="AK26" s="92">
        <f t="shared" si="12"/>
        <v>0</v>
      </c>
      <c r="AL26" s="92">
        <f t="shared" si="12"/>
        <v>0</v>
      </c>
      <c r="AM26" s="92">
        <f t="shared" si="12"/>
        <v>0</v>
      </c>
      <c r="AN26" s="92">
        <f t="shared" si="12"/>
        <v>0</v>
      </c>
      <c r="AO26" s="92">
        <f t="shared" si="12"/>
        <v>0</v>
      </c>
      <c r="AP26" s="92">
        <f t="shared" si="12"/>
        <v>0</v>
      </c>
      <c r="AQ26" s="92">
        <f t="shared" si="12"/>
        <v>0</v>
      </c>
      <c r="AR26" s="92">
        <f t="shared" si="12"/>
        <v>0</v>
      </c>
    </row>
    <row r="27" spans="1:44" x14ac:dyDescent="0.2">
      <c r="B27" s="364"/>
      <c r="C27" s="368" t="s">
        <v>9</v>
      </c>
      <c r="D27" s="369"/>
      <c r="E27" s="369"/>
      <c r="F27" s="369"/>
      <c r="G27" s="369"/>
      <c r="H27" s="370"/>
      <c r="I27" s="93">
        <f t="shared" ref="I27:L27" si="13">SUMIFS(I$2:I$17,$D$2:$D$17,"E",$F$2:$F$17,"H")</f>
        <v>0</v>
      </c>
      <c r="J27" s="93">
        <f t="shared" si="13"/>
        <v>0</v>
      </c>
      <c r="K27" s="93">
        <f t="shared" si="13"/>
        <v>0</v>
      </c>
      <c r="L27" s="93">
        <f t="shared" si="13"/>
        <v>0</v>
      </c>
      <c r="M27" s="93">
        <f>SUMIFS(M$2:M$17,$D$2:$D$17,"E",$F$2:$F$17,"H")</f>
        <v>0</v>
      </c>
      <c r="N27" s="93">
        <f t="shared" ref="N27:AR27" si="14">SUMIFS(N$2:N$17,$D$2:$D$17,"E",$F$2:$F$17,"H")</f>
        <v>0</v>
      </c>
      <c r="O27" s="93">
        <f t="shared" si="14"/>
        <v>0</v>
      </c>
      <c r="P27" s="93">
        <f t="shared" si="14"/>
        <v>0</v>
      </c>
      <c r="Q27" s="93">
        <f t="shared" si="14"/>
        <v>0</v>
      </c>
      <c r="R27" s="93">
        <f t="shared" si="14"/>
        <v>0</v>
      </c>
      <c r="S27" s="93">
        <f t="shared" si="14"/>
        <v>0</v>
      </c>
      <c r="T27" s="93">
        <f t="shared" si="14"/>
        <v>0</v>
      </c>
      <c r="U27" s="93">
        <f t="shared" si="14"/>
        <v>0</v>
      </c>
      <c r="V27" s="93">
        <f t="shared" si="14"/>
        <v>0</v>
      </c>
      <c r="W27" s="93">
        <f t="shared" si="14"/>
        <v>0</v>
      </c>
      <c r="X27" s="93">
        <f t="shared" si="14"/>
        <v>0</v>
      </c>
      <c r="Y27" s="93">
        <f t="shared" si="14"/>
        <v>0</v>
      </c>
      <c r="Z27" s="93">
        <f t="shared" si="14"/>
        <v>0</v>
      </c>
      <c r="AA27" s="93">
        <f t="shared" si="14"/>
        <v>0</v>
      </c>
      <c r="AB27" s="93">
        <f t="shared" si="14"/>
        <v>0</v>
      </c>
      <c r="AC27" s="93">
        <f t="shared" si="14"/>
        <v>0</v>
      </c>
      <c r="AD27" s="93">
        <f t="shared" si="14"/>
        <v>0</v>
      </c>
      <c r="AE27" s="93">
        <f t="shared" si="14"/>
        <v>0</v>
      </c>
      <c r="AF27" s="93">
        <f t="shared" si="14"/>
        <v>0</v>
      </c>
      <c r="AG27" s="93">
        <f t="shared" si="14"/>
        <v>0</v>
      </c>
      <c r="AH27" s="93">
        <f t="shared" si="14"/>
        <v>0</v>
      </c>
      <c r="AI27" s="93">
        <f t="shared" si="14"/>
        <v>0</v>
      </c>
      <c r="AJ27" s="93">
        <f t="shared" si="14"/>
        <v>0</v>
      </c>
      <c r="AK27" s="93">
        <f t="shared" si="14"/>
        <v>0</v>
      </c>
      <c r="AL27" s="93">
        <f t="shared" si="14"/>
        <v>0</v>
      </c>
      <c r="AM27" s="93">
        <f t="shared" si="14"/>
        <v>0</v>
      </c>
      <c r="AN27" s="93">
        <f t="shared" si="14"/>
        <v>0</v>
      </c>
      <c r="AO27" s="93">
        <f t="shared" si="14"/>
        <v>0</v>
      </c>
      <c r="AP27" s="93">
        <f t="shared" si="14"/>
        <v>0</v>
      </c>
      <c r="AQ27" s="93">
        <f t="shared" si="14"/>
        <v>0</v>
      </c>
      <c r="AR27" s="93">
        <f t="shared" si="14"/>
        <v>0</v>
      </c>
    </row>
    <row r="28" spans="1:44" s="9" customFormat="1" x14ac:dyDescent="0.2">
      <c r="A28" s="62"/>
      <c r="B28" s="97"/>
      <c r="C28" s="69"/>
      <c r="D28" s="69"/>
      <c r="E28" s="69"/>
      <c r="F28" s="69"/>
      <c r="G28" s="69"/>
      <c r="H28" s="69"/>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spans="1:44" x14ac:dyDescent="0.2">
      <c r="B29" s="364" t="s">
        <v>169</v>
      </c>
      <c r="C29" s="365" t="s">
        <v>10</v>
      </c>
      <c r="D29" s="371"/>
      <c r="E29" s="371"/>
      <c r="F29" s="371"/>
      <c r="G29" s="371"/>
      <c r="H29" s="372"/>
      <c r="I29" s="92">
        <f t="shared" ref="I29:L29" si="15">SUMIFS(I$2:I$17,$D$2:$D$17,"c",$F$2:$F$17,"C")</f>
        <v>0</v>
      </c>
      <c r="J29" s="92">
        <f t="shared" si="15"/>
        <v>0</v>
      </c>
      <c r="K29" s="92">
        <f t="shared" si="15"/>
        <v>0</v>
      </c>
      <c r="L29" s="92">
        <f t="shared" si="15"/>
        <v>0</v>
      </c>
      <c r="M29" s="92">
        <f>SUMIFS(M$2:M$17,$D$2:$D$17,"c",$F$2:$F$17,"C")</f>
        <v>0</v>
      </c>
      <c r="N29" s="92">
        <f t="shared" ref="N29:AR29" si="16">SUMIFS(N$2:N$17,$D$2:$D$17,"c",$F$2:$F$17,"C")</f>
        <v>0</v>
      </c>
      <c r="O29" s="92">
        <f t="shared" si="16"/>
        <v>0</v>
      </c>
      <c r="P29" s="92">
        <f t="shared" si="16"/>
        <v>0</v>
      </c>
      <c r="Q29" s="92">
        <f t="shared" si="16"/>
        <v>0</v>
      </c>
      <c r="R29" s="92">
        <f t="shared" si="16"/>
        <v>0</v>
      </c>
      <c r="S29" s="92">
        <f t="shared" si="16"/>
        <v>0</v>
      </c>
      <c r="T29" s="92">
        <f t="shared" si="16"/>
        <v>0</v>
      </c>
      <c r="U29" s="92">
        <f t="shared" si="16"/>
        <v>0</v>
      </c>
      <c r="V29" s="92">
        <f t="shared" si="16"/>
        <v>0</v>
      </c>
      <c r="W29" s="92">
        <f t="shared" si="16"/>
        <v>0</v>
      </c>
      <c r="X29" s="92">
        <f t="shared" si="16"/>
        <v>0</v>
      </c>
      <c r="Y29" s="92">
        <f t="shared" si="16"/>
        <v>0</v>
      </c>
      <c r="Z29" s="92">
        <f t="shared" si="16"/>
        <v>0</v>
      </c>
      <c r="AA29" s="92">
        <f t="shared" si="16"/>
        <v>0</v>
      </c>
      <c r="AB29" s="92">
        <f t="shared" si="16"/>
        <v>0</v>
      </c>
      <c r="AC29" s="92">
        <f t="shared" si="16"/>
        <v>0</v>
      </c>
      <c r="AD29" s="92">
        <f t="shared" si="16"/>
        <v>0</v>
      </c>
      <c r="AE29" s="92">
        <f t="shared" si="16"/>
        <v>0</v>
      </c>
      <c r="AF29" s="92">
        <f t="shared" si="16"/>
        <v>0</v>
      </c>
      <c r="AG29" s="92">
        <f t="shared" si="16"/>
        <v>0</v>
      </c>
      <c r="AH29" s="92">
        <f t="shared" si="16"/>
        <v>0</v>
      </c>
      <c r="AI29" s="92">
        <f t="shared" si="16"/>
        <v>0</v>
      </c>
      <c r="AJ29" s="92">
        <f t="shared" si="16"/>
        <v>0</v>
      </c>
      <c r="AK29" s="92">
        <f t="shared" si="16"/>
        <v>0</v>
      </c>
      <c r="AL29" s="92">
        <f t="shared" si="16"/>
        <v>0</v>
      </c>
      <c r="AM29" s="92">
        <f t="shared" si="16"/>
        <v>0</v>
      </c>
      <c r="AN29" s="92">
        <f t="shared" si="16"/>
        <v>0</v>
      </c>
      <c r="AO29" s="92">
        <f t="shared" si="16"/>
        <v>0</v>
      </c>
      <c r="AP29" s="92">
        <f t="shared" si="16"/>
        <v>0</v>
      </c>
      <c r="AQ29" s="92">
        <f t="shared" si="16"/>
        <v>0</v>
      </c>
      <c r="AR29" s="92">
        <f t="shared" si="16"/>
        <v>0</v>
      </c>
    </row>
    <row r="30" spans="1:44" x14ac:dyDescent="0.2">
      <c r="B30" s="364"/>
      <c r="C30" s="365" t="s">
        <v>9</v>
      </c>
      <c r="D30" s="371"/>
      <c r="E30" s="371"/>
      <c r="F30" s="371"/>
      <c r="G30" s="371"/>
      <c r="H30" s="372"/>
      <c r="I30" s="93">
        <f>SUMIFS(I$2:I$17,$D$2:$D$17,"c",$F$2:$F$17,"H")</f>
        <v>0</v>
      </c>
      <c r="J30" s="93">
        <f t="shared" ref="J30:AR30" si="17">SUMIFS(J$2:J$17,$D$2:$D$17,"c",$F$2:$F$17,"H")</f>
        <v>0</v>
      </c>
      <c r="K30" s="93">
        <f t="shared" si="17"/>
        <v>0</v>
      </c>
      <c r="L30" s="93">
        <f t="shared" si="17"/>
        <v>0</v>
      </c>
      <c r="M30" s="93">
        <f t="shared" si="17"/>
        <v>0</v>
      </c>
      <c r="N30" s="93">
        <f t="shared" si="17"/>
        <v>0</v>
      </c>
      <c r="O30" s="93">
        <f t="shared" si="17"/>
        <v>0</v>
      </c>
      <c r="P30" s="93">
        <f t="shared" si="17"/>
        <v>0</v>
      </c>
      <c r="Q30" s="93">
        <f t="shared" si="17"/>
        <v>0</v>
      </c>
      <c r="R30" s="93">
        <f t="shared" si="17"/>
        <v>0</v>
      </c>
      <c r="S30" s="93">
        <f t="shared" si="17"/>
        <v>0</v>
      </c>
      <c r="T30" s="93">
        <f t="shared" si="17"/>
        <v>0</v>
      </c>
      <c r="U30" s="93">
        <f t="shared" si="17"/>
        <v>0</v>
      </c>
      <c r="V30" s="93">
        <f t="shared" si="17"/>
        <v>0</v>
      </c>
      <c r="W30" s="93">
        <f t="shared" si="17"/>
        <v>0</v>
      </c>
      <c r="X30" s="93">
        <f t="shared" si="17"/>
        <v>0</v>
      </c>
      <c r="Y30" s="93">
        <f t="shared" si="17"/>
        <v>0</v>
      </c>
      <c r="Z30" s="93">
        <f t="shared" si="17"/>
        <v>0</v>
      </c>
      <c r="AA30" s="93">
        <f t="shared" si="17"/>
        <v>0</v>
      </c>
      <c r="AB30" s="93">
        <f t="shared" si="17"/>
        <v>0</v>
      </c>
      <c r="AC30" s="93">
        <f t="shared" si="17"/>
        <v>0</v>
      </c>
      <c r="AD30" s="93">
        <f t="shared" si="17"/>
        <v>0</v>
      </c>
      <c r="AE30" s="93">
        <f t="shared" si="17"/>
        <v>0</v>
      </c>
      <c r="AF30" s="93">
        <f t="shared" si="17"/>
        <v>0</v>
      </c>
      <c r="AG30" s="93">
        <f t="shared" si="17"/>
        <v>0</v>
      </c>
      <c r="AH30" s="93">
        <f t="shared" si="17"/>
        <v>0</v>
      </c>
      <c r="AI30" s="93">
        <f t="shared" si="17"/>
        <v>0</v>
      </c>
      <c r="AJ30" s="93">
        <f t="shared" si="17"/>
        <v>0</v>
      </c>
      <c r="AK30" s="93">
        <f t="shared" si="17"/>
        <v>0</v>
      </c>
      <c r="AL30" s="93">
        <f t="shared" si="17"/>
        <v>0</v>
      </c>
      <c r="AM30" s="93">
        <f t="shared" si="17"/>
        <v>0</v>
      </c>
      <c r="AN30" s="93">
        <f t="shared" si="17"/>
        <v>0</v>
      </c>
      <c r="AO30" s="93">
        <f t="shared" si="17"/>
        <v>0</v>
      </c>
      <c r="AP30" s="93">
        <f t="shared" si="17"/>
        <v>0</v>
      </c>
      <c r="AQ30" s="93">
        <f t="shared" si="17"/>
        <v>0</v>
      </c>
      <c r="AR30" s="93">
        <f t="shared" si="17"/>
        <v>0</v>
      </c>
    </row>
    <row r="31" spans="1:44" x14ac:dyDescent="0.2">
      <c r="B31" s="12"/>
      <c r="C31" s="12"/>
      <c r="D31" s="12"/>
      <c r="E31" s="12"/>
      <c r="F31" s="12"/>
      <c r="G31" s="12"/>
      <c r="H31" s="13"/>
      <c r="I31" s="13"/>
      <c r="J31" s="13"/>
      <c r="K31" s="13"/>
      <c r="L31" s="13"/>
      <c r="M31" s="13"/>
      <c r="N31" s="13"/>
      <c r="O31" s="13"/>
    </row>
    <row r="32" spans="1:44" x14ac:dyDescent="0.2">
      <c r="B32" s="12"/>
      <c r="C32" s="12"/>
      <c r="D32" s="12"/>
      <c r="E32" s="12"/>
      <c r="F32" s="12"/>
      <c r="G32" s="12"/>
      <c r="H32" s="13"/>
      <c r="I32" s="13"/>
      <c r="J32" s="13"/>
      <c r="K32" s="13"/>
      <c r="L32" s="13"/>
      <c r="M32" s="13"/>
      <c r="N32" s="13"/>
      <c r="O32" s="13"/>
    </row>
    <row r="33" spans="2:6" x14ac:dyDescent="0.2">
      <c r="B33" s="465" t="s">
        <v>116</v>
      </c>
      <c r="C33" s="49" t="s">
        <v>15</v>
      </c>
      <c r="D33" s="50" t="s">
        <v>13</v>
      </c>
      <c r="E33" s="8"/>
      <c r="F33" s="6"/>
    </row>
    <row r="34" spans="2:6" x14ac:dyDescent="0.2">
      <c r="B34" s="466"/>
      <c r="C34" s="14" t="s">
        <v>170</v>
      </c>
      <c r="D34" s="15" t="s">
        <v>12</v>
      </c>
      <c r="E34" s="8"/>
      <c r="F34" s="6"/>
    </row>
    <row r="35" spans="2:6" x14ac:dyDescent="0.2">
      <c r="B35" s="467"/>
      <c r="C35" s="16" t="s">
        <v>171</v>
      </c>
      <c r="D35" s="17" t="s">
        <v>14</v>
      </c>
      <c r="E35" s="8"/>
      <c r="F35" s="6"/>
    </row>
    <row r="36" spans="2:6" ht="14.4" x14ac:dyDescent="0.3">
      <c r="B36" s="18"/>
      <c r="C36" s="18"/>
    </row>
    <row r="37" spans="2:6" x14ac:dyDescent="0.2">
      <c r="B37" s="463" t="s">
        <v>117</v>
      </c>
      <c r="C37" s="51" t="s">
        <v>16</v>
      </c>
      <c r="D37" s="52" t="s">
        <v>6</v>
      </c>
      <c r="E37" s="56"/>
      <c r="F37" s="6"/>
    </row>
    <row r="38" spans="2:6" x14ac:dyDescent="0.2">
      <c r="B38" s="464"/>
      <c r="C38" s="19" t="s">
        <v>17</v>
      </c>
      <c r="D38" s="20" t="s">
        <v>12</v>
      </c>
      <c r="E38" s="56"/>
      <c r="F38" s="6"/>
    </row>
    <row r="39" spans="2:6" ht="14.4" x14ac:dyDescent="0.3">
      <c r="B39" s="18"/>
      <c r="C39" s="18"/>
    </row>
  </sheetData>
  <autoFilter ref="A1:XDK1"/>
  <mergeCells count="2">
    <mergeCell ref="B37:B38"/>
    <mergeCell ref="B33:B35"/>
  </mergeCells>
  <conditionalFormatting sqref="H31:O32 I21:AR21 I28:AR28">
    <cfRule type="cellIs" dxfId="8" priority="81" operator="equal">
      <formula>0</formula>
    </cfRule>
  </conditionalFormatting>
  <conditionalFormatting sqref="H23:AR23">
    <cfRule type="cellIs" dxfId="7" priority="12" operator="equal">
      <formula>0</formula>
    </cfRule>
  </conditionalFormatting>
  <conditionalFormatting sqref="I22:AR22">
    <cfRule type="cellIs" dxfId="6" priority="7" operator="equal">
      <formula>0</formula>
    </cfRule>
  </conditionalFormatting>
  <conditionalFormatting sqref="I24:AR24">
    <cfRule type="cellIs" dxfId="5" priority="6" operator="equal">
      <formula>0</formula>
    </cfRule>
  </conditionalFormatting>
  <conditionalFormatting sqref="I25:AR25">
    <cfRule type="cellIs" dxfId="4" priority="5" operator="equal">
      <formula>0</formula>
    </cfRule>
  </conditionalFormatting>
  <conditionalFormatting sqref="I26:AR26">
    <cfRule type="cellIs" dxfId="3" priority="4" operator="equal">
      <formula>0</formula>
    </cfRule>
  </conditionalFormatting>
  <conditionalFormatting sqref="I27:AR27">
    <cfRule type="cellIs" dxfId="2" priority="3" operator="equal">
      <formula>0</formula>
    </cfRule>
  </conditionalFormatting>
  <conditionalFormatting sqref="I29:AR29">
    <cfRule type="cellIs" dxfId="1" priority="2" operator="equal">
      <formula>0</formula>
    </cfRule>
  </conditionalFormatting>
  <conditionalFormatting sqref="I30:AR30">
    <cfRule type="cellIs" dxfId="0" priority="1" operator="equal">
      <formula>0</formula>
    </cfRule>
  </conditionalFormatting>
  <dataValidations count="1">
    <dataValidation type="list" allowBlank="1" showInputMessage="1" showErrorMessage="1" sqref="D2:D17">
      <formula1>$D$33:$D$35</formula1>
    </dataValidation>
  </dataValidations>
  <pageMargins left="0.7" right="0.7" top="0.75" bottom="0.75" header="0.3" footer="0.3"/>
  <pageSetup orientation="landscape" r:id="rId1"/>
  <headerFooter>
    <oddHeader>&amp;C&amp;"Arial,Bold"&amp;14&amp;K000000&amp;A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Q24"/>
  <sheetViews>
    <sheetView showZeros="0" zoomScaleNormal="100" workbookViewId="0">
      <pane xSplit="1" ySplit="1" topLeftCell="B2" activePane="bottomRight" state="frozen"/>
      <selection activeCell="B9" sqref="B9"/>
      <selection pane="topRight" activeCell="B9" sqref="B9"/>
      <selection pane="bottomLeft" activeCell="B9" sqref="B9"/>
      <selection pane="bottomRight" activeCell="C20" sqref="C20"/>
    </sheetView>
  </sheetViews>
  <sheetFormatPr defaultColWidth="9.109375" defaultRowHeight="12" x14ac:dyDescent="0.25"/>
  <cols>
    <col min="1" max="1" width="30.5546875" style="21" bestFit="1" customWidth="1"/>
    <col min="2" max="2" width="30.5546875" style="21" customWidth="1"/>
    <col min="3" max="7" width="10.6640625" style="21" customWidth="1"/>
    <col min="8" max="8" width="10.109375" style="21" customWidth="1"/>
    <col min="9" max="9" width="10" style="21" customWidth="1"/>
    <col min="10" max="10" width="9.5546875" style="21" customWidth="1"/>
    <col min="11" max="11" width="9.33203125" style="21" customWidth="1"/>
    <col min="12" max="12" width="9.88671875" style="21" customWidth="1"/>
    <col min="13" max="37" width="10" style="21" customWidth="1"/>
    <col min="38" max="38" width="9.33203125" style="21" bestFit="1" customWidth="1"/>
    <col min="39" max="39" width="11.33203125" style="21" bestFit="1" customWidth="1"/>
    <col min="40" max="16384" width="9.109375" style="21"/>
  </cols>
  <sheetData>
    <row r="1" spans="1:43" s="57" customFormat="1" ht="12.6" thickBot="1" x14ac:dyDescent="0.3">
      <c r="A1" s="373" t="s">
        <v>45</v>
      </c>
      <c r="B1" s="374" t="s">
        <v>216</v>
      </c>
      <c r="C1" s="374">
        <f>Assumptions!C2</f>
        <v>41821</v>
      </c>
      <c r="D1" s="374">
        <f>EDATE(C1,1)</f>
        <v>41852</v>
      </c>
      <c r="E1" s="374">
        <f t="shared" ref="E1:AL1" si="0">EDATE(D1,1)</f>
        <v>41883</v>
      </c>
      <c r="F1" s="374">
        <f t="shared" si="0"/>
        <v>41913</v>
      </c>
      <c r="G1" s="374">
        <f t="shared" si="0"/>
        <v>41944</v>
      </c>
      <c r="H1" s="374">
        <f t="shared" si="0"/>
        <v>41974</v>
      </c>
      <c r="I1" s="374">
        <f t="shared" si="0"/>
        <v>42005</v>
      </c>
      <c r="J1" s="374">
        <f t="shared" si="0"/>
        <v>42036</v>
      </c>
      <c r="K1" s="374">
        <f t="shared" si="0"/>
        <v>42064</v>
      </c>
      <c r="L1" s="374">
        <f t="shared" si="0"/>
        <v>42095</v>
      </c>
      <c r="M1" s="374">
        <f t="shared" si="0"/>
        <v>42125</v>
      </c>
      <c r="N1" s="374">
        <f t="shared" si="0"/>
        <v>42156</v>
      </c>
      <c r="O1" s="374">
        <f t="shared" si="0"/>
        <v>42186</v>
      </c>
      <c r="P1" s="374">
        <f t="shared" si="0"/>
        <v>42217</v>
      </c>
      <c r="Q1" s="374">
        <f t="shared" si="0"/>
        <v>42248</v>
      </c>
      <c r="R1" s="374">
        <f t="shared" si="0"/>
        <v>42278</v>
      </c>
      <c r="S1" s="374">
        <f t="shared" si="0"/>
        <v>42309</v>
      </c>
      <c r="T1" s="374">
        <f t="shared" si="0"/>
        <v>42339</v>
      </c>
      <c r="U1" s="374">
        <f t="shared" si="0"/>
        <v>42370</v>
      </c>
      <c r="V1" s="374">
        <f t="shared" si="0"/>
        <v>42401</v>
      </c>
      <c r="W1" s="374">
        <f t="shared" si="0"/>
        <v>42430</v>
      </c>
      <c r="X1" s="374">
        <f t="shared" si="0"/>
        <v>42461</v>
      </c>
      <c r="Y1" s="374">
        <f t="shared" si="0"/>
        <v>42491</v>
      </c>
      <c r="Z1" s="374">
        <f t="shared" si="0"/>
        <v>42522</v>
      </c>
      <c r="AA1" s="374">
        <f t="shared" si="0"/>
        <v>42552</v>
      </c>
      <c r="AB1" s="374">
        <f t="shared" si="0"/>
        <v>42583</v>
      </c>
      <c r="AC1" s="374">
        <f t="shared" si="0"/>
        <v>42614</v>
      </c>
      <c r="AD1" s="374">
        <f t="shared" si="0"/>
        <v>42644</v>
      </c>
      <c r="AE1" s="374">
        <f t="shared" si="0"/>
        <v>42675</v>
      </c>
      <c r="AF1" s="374">
        <f t="shared" si="0"/>
        <v>42705</v>
      </c>
      <c r="AG1" s="374">
        <f t="shared" si="0"/>
        <v>42736</v>
      </c>
      <c r="AH1" s="374">
        <f t="shared" si="0"/>
        <v>42767</v>
      </c>
      <c r="AI1" s="374">
        <f t="shared" si="0"/>
        <v>42795</v>
      </c>
      <c r="AJ1" s="374">
        <f t="shared" si="0"/>
        <v>42826</v>
      </c>
      <c r="AK1" s="374">
        <f t="shared" si="0"/>
        <v>42856</v>
      </c>
      <c r="AL1" s="374">
        <f t="shared" si="0"/>
        <v>42887</v>
      </c>
      <c r="AM1" s="375" t="s">
        <v>7</v>
      </c>
    </row>
    <row r="2" spans="1:43" x14ac:dyDescent="0.25">
      <c r="A2" s="71" t="s">
        <v>163</v>
      </c>
      <c r="B2" s="403"/>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3"/>
    </row>
    <row r="3" spans="1:43" x14ac:dyDescent="0.25">
      <c r="A3" s="376">
        <v>1</v>
      </c>
      <c r="B3" s="404"/>
      <c r="C3" s="81">
        <f>IF(C$1&gt;'Project Summary'!$B$7,0,INDEX('MS Project Data - Forecast'!$A$4:$AK$682,MATCH($A3,'MS Project Data - Forecast'!$A$4:$A$682,0),2))</f>
        <v>0</v>
      </c>
      <c r="D3" s="81">
        <f>IF(D$1&gt;'Project Summary'!$B$7,0,INDEX('MS Project Data - Forecast'!$A$4:$AK$682,MATCH($A3,'MS Project Data - Forecast'!$A$4:$A$682,0),3))</f>
        <v>0</v>
      </c>
      <c r="E3" s="81">
        <f>IF(E$1&gt;'Project Summary'!$B$7,0,INDEX('MS Project Data - Forecast'!$A$4:$AK$682,MATCH($A3,'MS Project Data - Forecast'!$A$4:$A$682,0),4))</f>
        <v>0</v>
      </c>
      <c r="F3" s="81">
        <f>IF(F$1&gt;'Project Summary'!$B$7,0,INDEX('MS Project Data - Forecast'!$A$4:$AK$682,MATCH($A3,'MS Project Data - Forecast'!$A$4:$A$682,0),5))</f>
        <v>0</v>
      </c>
      <c r="G3" s="81">
        <f>IF(G$1&gt;'Project Summary'!$B$7,0,INDEX('MS Project Data - Forecast'!$A$4:$AK$682,MATCH($A3,'MS Project Data - Forecast'!$A$4:$A$682,0),6))</f>
        <v>0</v>
      </c>
      <c r="H3" s="81">
        <f>IF(H$1&gt;'Project Summary'!$B$7,0,INDEX('MS Project Data - Forecast'!$A$4:$AK$682,MATCH($A3,'MS Project Data - Forecast'!$A$4:$A$682,0),7))</f>
        <v>0</v>
      </c>
      <c r="I3" s="81">
        <f>IF(I$1&gt;'Project Summary'!$B$7,0,INDEX('MS Project Data - Forecast'!$A$4:$AK$682,MATCH($A3,'MS Project Data - Forecast'!$A$4:$A$682,0),8))</f>
        <v>0</v>
      </c>
      <c r="J3" s="81">
        <f>IF(J$1&gt;'Project Summary'!$B$7,0,INDEX('MS Project Data - Forecast'!$A$4:$AK$682,MATCH($A3,'MS Project Data - Forecast'!$A$4:$A$682,0),9))</f>
        <v>0</v>
      </c>
      <c r="K3" s="81">
        <f>IF(K$1&gt;'Project Summary'!$B$7,0,INDEX('MS Project Data - Forecast'!$A$4:$AK$682,MATCH($A3,'MS Project Data - Forecast'!$A$4:$A$682,0),10))</f>
        <v>0</v>
      </c>
      <c r="L3" s="81">
        <f>IF(L$1&gt;'Project Summary'!$B$7,0,INDEX('MS Project Data - Forecast'!$A$4:$AK$682,MATCH($A3,'MS Project Data - Forecast'!$A$4:$A$682,0),11))</f>
        <v>0</v>
      </c>
      <c r="M3" s="81">
        <f>IF(M$1&gt;'Project Summary'!$B$7,0,INDEX('MS Project Data - Forecast'!$A$4:$AK$682,MATCH($A3,'MS Project Data - Forecast'!$A$4:$A$682,0),12))</f>
        <v>0</v>
      </c>
      <c r="N3" s="81">
        <f>IF(N$1&gt;'Project Summary'!$B$7,0,INDEX('MS Project Data - Forecast'!$A$4:$AK$682,MATCH($A3,'MS Project Data - Forecast'!$A$4:$A$682,0),13))</f>
        <v>0</v>
      </c>
      <c r="O3" s="81">
        <f>IF(O$1&gt;'Project Summary'!$B$7,0,INDEX('MS Project Data - Forecast'!$A$4:$AK$682,MATCH($A3,'MS Project Data - Forecast'!$A$4:$A$682,0),14))</f>
        <v>0</v>
      </c>
      <c r="P3" s="81">
        <f>IF(P$1&gt;'Project Summary'!$B$7,0,INDEX('MS Project Data - Forecast'!$A$4:$AK$682,MATCH($A3,'MS Project Data - Forecast'!$A$4:$A$682,0),15))</f>
        <v>0</v>
      </c>
      <c r="Q3" s="81">
        <f>IF(Q$1&gt;'Project Summary'!$B$7,0,INDEX('MS Project Data - Forecast'!$A$4:$AK$682,MATCH($A3,'MS Project Data - Forecast'!$A$4:$A$682,0),16))</f>
        <v>0</v>
      </c>
      <c r="R3" s="81">
        <f>IF(R$1&gt;'Project Summary'!$B$7,0,INDEX('MS Project Data - Forecast'!$A$4:$AK$682,MATCH($A3,'MS Project Data - Forecast'!$A$4:$A$682,0),17))</f>
        <v>0</v>
      </c>
      <c r="S3" s="81">
        <f>IF(S$1&gt;'Project Summary'!$B$7,0,INDEX('MS Project Data - Forecast'!$A$4:$AK$682,MATCH($A3,'MS Project Data - Forecast'!$A$4:$A$682,0),18))</f>
        <v>0</v>
      </c>
      <c r="T3" s="81">
        <f>IF(T$1&gt;'Project Summary'!$B$7,0,INDEX('MS Project Data - Forecast'!$A$4:$AK$682,MATCH($A3,'MS Project Data - Forecast'!$A$4:$A$682,0),19))</f>
        <v>0</v>
      </c>
      <c r="U3" s="81">
        <f>IF(U$1&gt;'Project Summary'!$B$7,0,INDEX('MS Project Data - Forecast'!$A$4:$AK$682,MATCH($A3,'MS Project Data - Forecast'!$A$4:$A$682,0),20))</f>
        <v>0</v>
      </c>
      <c r="V3" s="81">
        <f>IF(V$1&gt;'Project Summary'!$B$7,0,INDEX('MS Project Data - Forecast'!$A$4:$AK$682,MATCH($A3,'MS Project Data - Forecast'!$A$4:$A$682,0),21))</f>
        <v>0</v>
      </c>
      <c r="W3" s="81">
        <f>IF(W$1&gt;'Project Summary'!$B$7,0,INDEX('MS Project Data - Forecast'!$A$4:$AK$682,MATCH($A3,'MS Project Data - Forecast'!$A$4:$A$682,0),22))</f>
        <v>0</v>
      </c>
      <c r="X3" s="81">
        <f>IF(X$1&gt;'Project Summary'!$B$7,0,INDEX('MS Project Data - Forecast'!$A$4:$AK$682,MATCH($A3,'MS Project Data - Forecast'!$A$4:$A$682,0),23))</f>
        <v>0</v>
      </c>
      <c r="Y3" s="81">
        <f>IF(Y$1&gt;'Project Summary'!$B$7,0,INDEX('MS Project Data - Forecast'!$A$4:$AK$682,MATCH($A3,'MS Project Data - Forecast'!$A$4:$A$682,0),24))</f>
        <v>0</v>
      </c>
      <c r="Z3" s="81">
        <f>IF(Z$1&gt;'Project Summary'!$B$7,0,INDEX('MS Project Data - Forecast'!$A$4:$AK$682,MATCH($A3,'MS Project Data - Forecast'!$A$4:$A$682,0),25))</f>
        <v>0</v>
      </c>
      <c r="AA3" s="81">
        <f>IF(AA$1&gt;'Project Summary'!$B$7,0,INDEX('MS Project Data - Forecast'!$A$4:$AK$682,MATCH($A3,'MS Project Data - Forecast'!$A$4:$A$682,0),26))</f>
        <v>0</v>
      </c>
      <c r="AB3" s="81">
        <f>IF(AB$1&gt;'Project Summary'!$B$7,0,INDEX('MS Project Data - Forecast'!$A$4:$AK$682,MATCH($A3,'MS Project Data - Forecast'!$A$4:$A$682,0),27))</f>
        <v>0</v>
      </c>
      <c r="AC3" s="81">
        <f>IF(AC$1&gt;'Project Summary'!$B$7,0,INDEX('MS Project Data - Forecast'!$A$4:$AK$682,MATCH($A3,'MS Project Data - Forecast'!$A$4:$A$682,0),28))</f>
        <v>0</v>
      </c>
      <c r="AD3" s="81">
        <f>IF(AD$1&gt;'Project Summary'!$B$7,0,INDEX('MS Project Data - Forecast'!$A$4:$AK$682,MATCH($A3,'MS Project Data - Forecast'!$A$4:$A$682,0),29))</f>
        <v>0</v>
      </c>
      <c r="AE3" s="81">
        <f>IF(AE$1&gt;'Project Summary'!$B$7,0,INDEX('MS Project Data - Forecast'!$A$4:$AK$682,MATCH($A3,'MS Project Data - Forecast'!$A$4:$A$682,0),30))</f>
        <v>0</v>
      </c>
      <c r="AF3" s="81">
        <f>IF(AF$1&gt;'Project Summary'!$B$7,0,INDEX('MS Project Data - Forecast'!$A$4:$AK$682,MATCH($A3,'MS Project Data - Forecast'!$A$4:$A$682,0),31))</f>
        <v>0</v>
      </c>
      <c r="AG3" s="81">
        <f>IF(AG$1&gt;'Project Summary'!$B$7,0,INDEX('MS Project Data - Forecast'!$A$4:$AK$682,MATCH($A3,'MS Project Data - Forecast'!$A$4:$A$682,0),32))</f>
        <v>0</v>
      </c>
      <c r="AH3" s="81">
        <f>IF(AH$1&gt;'Project Summary'!$B$7,0,INDEX('MS Project Data - Forecast'!$A$4:$AK$682,MATCH($A3,'MS Project Data - Forecast'!$A$4:$A$682,0),33))</f>
        <v>0</v>
      </c>
      <c r="AI3" s="81">
        <f>IF(AI$1&gt;'Project Summary'!$B$7,0,INDEX('MS Project Data - Forecast'!$A$4:$AK$682,MATCH($A3,'MS Project Data - Forecast'!$A$4:$A$682,0),34))</f>
        <v>0</v>
      </c>
      <c r="AJ3" s="81">
        <f>IF(AJ$1&gt;'Project Summary'!$B$7,0,INDEX('MS Project Data - Forecast'!$A$4:$AK$682,MATCH($A3,'MS Project Data - Forecast'!$A$4:$A$682,0),35))</f>
        <v>0</v>
      </c>
      <c r="AK3" s="81">
        <f>IF(AK$1&gt;'Project Summary'!$B$7,0,INDEX('MS Project Data - Forecast'!$A$4:$AK$682,MATCH($A3,'MS Project Data - Forecast'!$A$4:$A$682,0),36))</f>
        <v>0</v>
      </c>
      <c r="AL3" s="81">
        <f>IF(AL$1&gt;'Project Summary'!$B$7,0,INDEX('MS Project Data - Forecast'!$A$4:$AK$682,MATCH($A3,'MS Project Data - Forecast'!$A$4:$A$682,0),37))</f>
        <v>0</v>
      </c>
      <c r="AM3" s="82">
        <f>SUM(C3:AL3)</f>
        <v>0</v>
      </c>
    </row>
    <row r="4" spans="1:43" x14ac:dyDescent="0.25">
      <c r="A4" s="376">
        <v>2</v>
      </c>
      <c r="B4" s="404"/>
      <c r="C4" s="81">
        <f>IF(C$1&gt;'Project Summary'!$B$7,0,INDEX('MS Project Data - Forecast'!$A$4:$AK$682,MATCH($A4,'MS Project Data - Forecast'!$A$4:$A$682,0),2))</f>
        <v>0</v>
      </c>
      <c r="D4" s="81">
        <f>IF(D$1&gt;'Project Summary'!$B$7,0,INDEX('MS Project Data - Forecast'!$A$4:$AK$682,MATCH($A4,'MS Project Data - Forecast'!$A$4:$A$682,0),3))</f>
        <v>0</v>
      </c>
      <c r="E4" s="81">
        <f>IF(E$1&gt;'Project Summary'!$B$7,0,INDEX('MS Project Data - Forecast'!$A$4:$AK$682,MATCH($A4,'MS Project Data - Forecast'!$A$4:$A$682,0),4))</f>
        <v>0</v>
      </c>
      <c r="F4" s="81">
        <f>IF(F$1&gt;'Project Summary'!$B$7,0,INDEX('MS Project Data - Forecast'!$A$4:$AK$682,MATCH($A4,'MS Project Data - Forecast'!$A$4:$A$682,0),5))</f>
        <v>0</v>
      </c>
      <c r="G4" s="81">
        <f>IF(G$1&gt;'Project Summary'!$B$7,0,INDEX('MS Project Data - Forecast'!$A$4:$AK$682,MATCH($A4,'MS Project Data - Forecast'!$A$4:$A$682,0),6))</f>
        <v>0</v>
      </c>
      <c r="H4" s="81">
        <f>IF(H$1&gt;'Project Summary'!$B$7,0,INDEX('MS Project Data - Forecast'!$A$4:$AK$682,MATCH($A4,'MS Project Data - Forecast'!$A$4:$A$682,0),7))</f>
        <v>0</v>
      </c>
      <c r="I4" s="81">
        <f>IF(I$1&gt;'Project Summary'!$B$7,0,INDEX('MS Project Data - Forecast'!$A$4:$AK$682,MATCH($A4,'MS Project Data - Forecast'!$A$4:$A$682,0),8))</f>
        <v>0</v>
      </c>
      <c r="J4" s="81">
        <f>IF(J$1&gt;'Project Summary'!$B$7,0,INDEX('MS Project Data - Forecast'!$A$4:$AK$682,MATCH($A4,'MS Project Data - Forecast'!$A$4:$A$682,0),9))</f>
        <v>0</v>
      </c>
      <c r="K4" s="81">
        <f>IF(K$1&gt;'Project Summary'!$B$7,0,INDEX('MS Project Data - Forecast'!$A$4:$AK$682,MATCH($A4,'MS Project Data - Forecast'!$A$4:$A$682,0),10))</f>
        <v>0</v>
      </c>
      <c r="L4" s="81">
        <f>IF(L$1&gt;'Project Summary'!$B$7,0,INDEX('MS Project Data - Forecast'!$A$4:$AK$682,MATCH($A4,'MS Project Data - Forecast'!$A$4:$A$682,0),11))</f>
        <v>0</v>
      </c>
      <c r="M4" s="81">
        <f>IF(M$1&gt;'Project Summary'!$B$7,0,INDEX('MS Project Data - Forecast'!$A$4:$AK$682,MATCH($A4,'MS Project Data - Forecast'!$A$4:$A$682,0),12))</f>
        <v>0</v>
      </c>
      <c r="N4" s="81">
        <f>IF(N$1&gt;'Project Summary'!$B$7,0,INDEX('MS Project Data - Forecast'!$A$4:$AK$682,MATCH($A4,'MS Project Data - Forecast'!$A$4:$A$682,0),13))</f>
        <v>0</v>
      </c>
      <c r="O4" s="81">
        <f>IF(O$1&gt;'Project Summary'!$B$7,0,INDEX('MS Project Data - Forecast'!$A$4:$AK$682,MATCH($A4,'MS Project Data - Forecast'!$A$4:$A$682,0),14))</f>
        <v>0</v>
      </c>
      <c r="P4" s="81">
        <f>IF(P$1&gt;'Project Summary'!$B$7,0,INDEX('MS Project Data - Forecast'!$A$4:$AK$682,MATCH($A4,'MS Project Data - Forecast'!$A$4:$A$682,0),15))</f>
        <v>0</v>
      </c>
      <c r="Q4" s="81">
        <f>IF(Q$1&gt;'Project Summary'!$B$7,0,INDEX('MS Project Data - Forecast'!$A$4:$AK$682,MATCH($A4,'MS Project Data - Forecast'!$A$4:$A$682,0),16))</f>
        <v>0</v>
      </c>
      <c r="R4" s="81">
        <f>IF(R$1&gt;'Project Summary'!$B$7,0,INDEX('MS Project Data - Forecast'!$A$4:$AK$682,MATCH($A4,'MS Project Data - Forecast'!$A$4:$A$682,0),17))</f>
        <v>0</v>
      </c>
      <c r="S4" s="81">
        <f>IF(S$1&gt;'Project Summary'!$B$7,0,INDEX('MS Project Data - Forecast'!$A$4:$AK$682,MATCH($A4,'MS Project Data - Forecast'!$A$4:$A$682,0),18))</f>
        <v>0</v>
      </c>
      <c r="T4" s="81">
        <f>IF(T$1&gt;'Project Summary'!$B$7,0,INDEX('MS Project Data - Forecast'!$A$4:$AK$682,MATCH($A4,'MS Project Data - Forecast'!$A$4:$A$682,0),19))</f>
        <v>0</v>
      </c>
      <c r="U4" s="81">
        <f>IF(U$1&gt;'Project Summary'!$B$7,0,INDEX('MS Project Data - Forecast'!$A$4:$AK$682,MATCH($A4,'MS Project Data - Forecast'!$A$4:$A$682,0),20))</f>
        <v>0</v>
      </c>
      <c r="V4" s="81">
        <f>IF(V$1&gt;'Project Summary'!$B$7,0,INDEX('MS Project Data - Forecast'!$A$4:$AK$682,MATCH($A4,'MS Project Data - Forecast'!$A$4:$A$682,0),21))</f>
        <v>0</v>
      </c>
      <c r="W4" s="81">
        <f>IF(W$1&gt;'Project Summary'!$B$7,0,INDEX('MS Project Data - Forecast'!$A$4:$AK$682,MATCH($A4,'MS Project Data - Forecast'!$A$4:$A$682,0),22))</f>
        <v>0</v>
      </c>
      <c r="X4" s="81">
        <f>IF(X$1&gt;'Project Summary'!$B$7,0,INDEX('MS Project Data - Forecast'!$A$4:$AK$682,MATCH($A4,'MS Project Data - Forecast'!$A$4:$A$682,0),23))</f>
        <v>0</v>
      </c>
      <c r="Y4" s="81">
        <f>IF(Y$1&gt;'Project Summary'!$B$7,0,INDEX('MS Project Data - Forecast'!$A$4:$AK$682,MATCH($A4,'MS Project Data - Forecast'!$A$4:$A$682,0),24))</f>
        <v>0</v>
      </c>
      <c r="Z4" s="81">
        <f>IF(Z$1&gt;'Project Summary'!$B$7,0,INDEX('MS Project Data - Forecast'!$A$4:$AK$682,MATCH($A4,'MS Project Data - Forecast'!$A$4:$A$682,0),25))</f>
        <v>0</v>
      </c>
      <c r="AA4" s="81">
        <f>IF(AA$1&gt;'Project Summary'!$B$7,0,INDEX('MS Project Data - Forecast'!$A$4:$AK$682,MATCH($A4,'MS Project Data - Forecast'!$A$4:$A$682,0),26))</f>
        <v>0</v>
      </c>
      <c r="AB4" s="81">
        <f>IF(AB$1&gt;'Project Summary'!$B$7,0,INDEX('MS Project Data - Forecast'!$A$4:$AK$682,MATCH($A4,'MS Project Data - Forecast'!$A$4:$A$682,0),27))</f>
        <v>0</v>
      </c>
      <c r="AC4" s="81">
        <f>IF(AC$1&gt;'Project Summary'!$B$7,0,INDEX('MS Project Data - Forecast'!$A$4:$AK$682,MATCH($A4,'MS Project Data - Forecast'!$A$4:$A$682,0),28))</f>
        <v>0</v>
      </c>
      <c r="AD4" s="81">
        <f>IF(AD$1&gt;'Project Summary'!$B$7,0,INDEX('MS Project Data - Forecast'!$A$4:$AK$682,MATCH($A4,'MS Project Data - Forecast'!$A$4:$A$682,0),29))</f>
        <v>0</v>
      </c>
      <c r="AE4" s="81">
        <f>IF(AE$1&gt;'Project Summary'!$B$7,0,INDEX('MS Project Data - Forecast'!$A$4:$AK$682,MATCH($A4,'MS Project Data - Forecast'!$A$4:$A$682,0),30))</f>
        <v>0</v>
      </c>
      <c r="AF4" s="81">
        <f>IF(AF$1&gt;'Project Summary'!$B$7,0,INDEX('MS Project Data - Forecast'!$A$4:$AK$682,MATCH($A4,'MS Project Data - Forecast'!$A$4:$A$682,0),31))</f>
        <v>0</v>
      </c>
      <c r="AG4" s="81">
        <f>IF(AG$1&gt;'Project Summary'!$B$7,0,INDEX('MS Project Data - Forecast'!$A$4:$AK$682,MATCH($A4,'MS Project Data - Forecast'!$A$4:$A$682,0),32))</f>
        <v>0</v>
      </c>
      <c r="AH4" s="81">
        <f>IF(AH$1&gt;'Project Summary'!$B$7,0,INDEX('MS Project Data - Forecast'!$A$4:$AK$682,MATCH($A4,'MS Project Data - Forecast'!$A$4:$A$682,0),33))</f>
        <v>0</v>
      </c>
      <c r="AI4" s="81">
        <f>IF(AI$1&gt;'Project Summary'!$B$7,0,INDEX('MS Project Data - Forecast'!$A$4:$AK$682,MATCH($A4,'MS Project Data - Forecast'!$A$4:$A$682,0),34))</f>
        <v>0</v>
      </c>
      <c r="AJ4" s="81">
        <f>IF(AJ$1&gt;'Project Summary'!$B$7,0,INDEX('MS Project Data - Forecast'!$A$4:$AK$682,MATCH($A4,'MS Project Data - Forecast'!$A$4:$A$682,0),35))</f>
        <v>0</v>
      </c>
      <c r="AK4" s="81">
        <f>IF(AK$1&gt;'Project Summary'!$B$7,0,INDEX('MS Project Data - Forecast'!$A$4:$AK$682,MATCH($A4,'MS Project Data - Forecast'!$A$4:$A$682,0),36))</f>
        <v>0</v>
      </c>
      <c r="AL4" s="81">
        <f>IF(AL$1&gt;'Project Summary'!$B$7,0,INDEX('MS Project Data - Forecast'!$A$4:$AK$682,MATCH($A4,'MS Project Data - Forecast'!$A$4:$A$682,0),37))</f>
        <v>0</v>
      </c>
      <c r="AM4" s="82">
        <f>SUM(C4:AL4)</f>
        <v>0</v>
      </c>
    </row>
    <row r="5" spans="1:43" x14ac:dyDescent="0.25">
      <c r="A5" s="376">
        <v>3</v>
      </c>
      <c r="B5" s="404"/>
      <c r="C5" s="81">
        <f>IF(C$1&gt;'Project Summary'!$B$7,0,INDEX('MS Project Data - Forecast'!$A$4:$AK$682,MATCH($A5,'MS Project Data - Forecast'!$A$4:$A$682,0),2))</f>
        <v>0</v>
      </c>
      <c r="D5" s="81">
        <f>IF(D$1&gt;'Project Summary'!$B$7,0,INDEX('MS Project Data - Forecast'!$A$4:$AK$682,MATCH($A5,'MS Project Data - Forecast'!$A$4:$A$682,0),3))</f>
        <v>0</v>
      </c>
      <c r="E5" s="81">
        <f>IF(E$1&gt;'Project Summary'!$B$7,0,INDEX('MS Project Data - Forecast'!$A$4:$AK$682,MATCH($A5,'MS Project Data - Forecast'!$A$4:$A$682,0),4))</f>
        <v>0</v>
      </c>
      <c r="F5" s="81">
        <f>IF(F$1&gt;'Project Summary'!$B$7,0,INDEX('MS Project Data - Forecast'!$A$4:$AK$682,MATCH($A5,'MS Project Data - Forecast'!$A$4:$A$682,0),5))</f>
        <v>0</v>
      </c>
      <c r="G5" s="81">
        <f>IF(G$1&gt;'Project Summary'!$B$7,0,INDEX('MS Project Data - Forecast'!$A$4:$AK$682,MATCH($A5,'MS Project Data - Forecast'!$A$4:$A$682,0),6))</f>
        <v>0</v>
      </c>
      <c r="H5" s="81">
        <f>IF(H$1&gt;'Project Summary'!$B$7,0,INDEX('MS Project Data - Forecast'!$A$4:$AK$682,MATCH($A5,'MS Project Data - Forecast'!$A$4:$A$682,0),7))</f>
        <v>0</v>
      </c>
      <c r="I5" s="81">
        <f>IF(I$1&gt;'Project Summary'!$B$7,0,INDEX('MS Project Data - Forecast'!$A$4:$AK$682,MATCH($A5,'MS Project Data - Forecast'!$A$4:$A$682,0),8))</f>
        <v>0</v>
      </c>
      <c r="J5" s="81">
        <f>IF(J$1&gt;'Project Summary'!$B$7,0,INDEX('MS Project Data - Forecast'!$A$4:$AK$682,MATCH($A5,'MS Project Data - Forecast'!$A$4:$A$682,0),9))</f>
        <v>0</v>
      </c>
      <c r="K5" s="81">
        <f>IF(K$1&gt;'Project Summary'!$B$7,0,INDEX('MS Project Data - Forecast'!$A$4:$AK$682,MATCH($A5,'MS Project Data - Forecast'!$A$4:$A$682,0),10))</f>
        <v>0</v>
      </c>
      <c r="L5" s="81">
        <f>IF(L$1&gt;'Project Summary'!$B$7,0,INDEX('MS Project Data - Forecast'!$A$4:$AK$682,MATCH($A5,'MS Project Data - Forecast'!$A$4:$A$682,0),11))</f>
        <v>0</v>
      </c>
      <c r="M5" s="81">
        <f>IF(M$1&gt;'Project Summary'!$B$7,0,INDEX('MS Project Data - Forecast'!$A$4:$AK$682,MATCH($A5,'MS Project Data - Forecast'!$A$4:$A$682,0),12))</f>
        <v>0</v>
      </c>
      <c r="N5" s="81">
        <f>IF(N$1&gt;'Project Summary'!$B$7,0,INDEX('MS Project Data - Forecast'!$A$4:$AK$682,MATCH($A5,'MS Project Data - Forecast'!$A$4:$A$682,0),13))</f>
        <v>0</v>
      </c>
      <c r="O5" s="81">
        <f>IF(O$1&gt;'Project Summary'!$B$7,0,INDEX('MS Project Data - Forecast'!$A$4:$AK$682,MATCH($A5,'MS Project Data - Forecast'!$A$4:$A$682,0),14))</f>
        <v>0</v>
      </c>
      <c r="P5" s="81">
        <f>IF(P$1&gt;'Project Summary'!$B$7,0,INDEX('MS Project Data - Forecast'!$A$4:$AK$682,MATCH($A5,'MS Project Data - Forecast'!$A$4:$A$682,0),15))</f>
        <v>0</v>
      </c>
      <c r="Q5" s="81">
        <f>IF(Q$1&gt;'Project Summary'!$B$7,0,INDEX('MS Project Data - Forecast'!$A$4:$AK$682,MATCH($A5,'MS Project Data - Forecast'!$A$4:$A$682,0),16))</f>
        <v>0</v>
      </c>
      <c r="R5" s="81">
        <f>IF(R$1&gt;'Project Summary'!$B$7,0,INDEX('MS Project Data - Forecast'!$A$4:$AK$682,MATCH($A5,'MS Project Data - Forecast'!$A$4:$A$682,0),17))</f>
        <v>0</v>
      </c>
      <c r="S5" s="81">
        <f>IF(S$1&gt;'Project Summary'!$B$7,0,INDEX('MS Project Data - Forecast'!$A$4:$AK$682,MATCH($A5,'MS Project Data - Forecast'!$A$4:$A$682,0),18))</f>
        <v>0</v>
      </c>
      <c r="T5" s="81">
        <f>IF(T$1&gt;'Project Summary'!$B$7,0,INDEX('MS Project Data - Forecast'!$A$4:$AK$682,MATCH($A5,'MS Project Data - Forecast'!$A$4:$A$682,0),19))</f>
        <v>0</v>
      </c>
      <c r="U5" s="81">
        <f>IF(U$1&gt;'Project Summary'!$B$7,0,INDEX('MS Project Data - Forecast'!$A$4:$AK$682,MATCH($A5,'MS Project Data - Forecast'!$A$4:$A$682,0),20))</f>
        <v>0</v>
      </c>
      <c r="V5" s="81">
        <f>IF(V$1&gt;'Project Summary'!$B$7,0,INDEX('MS Project Data - Forecast'!$A$4:$AK$682,MATCH($A5,'MS Project Data - Forecast'!$A$4:$A$682,0),21))</f>
        <v>0</v>
      </c>
      <c r="W5" s="81">
        <f>IF(W$1&gt;'Project Summary'!$B$7,0,INDEX('MS Project Data - Forecast'!$A$4:$AK$682,MATCH($A5,'MS Project Data - Forecast'!$A$4:$A$682,0),22))</f>
        <v>0</v>
      </c>
      <c r="X5" s="81">
        <f>IF(X$1&gt;'Project Summary'!$B$7,0,INDEX('MS Project Data - Forecast'!$A$4:$AK$682,MATCH($A5,'MS Project Data - Forecast'!$A$4:$A$682,0),23))</f>
        <v>0</v>
      </c>
      <c r="Y5" s="81">
        <f>IF(Y$1&gt;'Project Summary'!$B$7,0,INDEX('MS Project Data - Forecast'!$A$4:$AK$682,MATCH($A5,'MS Project Data - Forecast'!$A$4:$A$682,0),24))</f>
        <v>0</v>
      </c>
      <c r="Z5" s="81">
        <f>IF(Z$1&gt;'Project Summary'!$B$7,0,INDEX('MS Project Data - Forecast'!$A$4:$AK$682,MATCH($A5,'MS Project Data - Forecast'!$A$4:$A$682,0),25))</f>
        <v>0</v>
      </c>
      <c r="AA5" s="81">
        <f>IF(AA$1&gt;'Project Summary'!$B$7,0,INDEX('MS Project Data - Forecast'!$A$4:$AK$682,MATCH($A5,'MS Project Data - Forecast'!$A$4:$A$682,0),26))</f>
        <v>0</v>
      </c>
      <c r="AB5" s="81">
        <f>IF(AB$1&gt;'Project Summary'!$B$7,0,INDEX('MS Project Data - Forecast'!$A$4:$AK$682,MATCH($A5,'MS Project Data - Forecast'!$A$4:$A$682,0),27))</f>
        <v>0</v>
      </c>
      <c r="AC5" s="81">
        <f>IF(AC$1&gt;'Project Summary'!$B$7,0,INDEX('MS Project Data - Forecast'!$A$4:$AK$682,MATCH($A5,'MS Project Data - Forecast'!$A$4:$A$682,0),28))</f>
        <v>0</v>
      </c>
      <c r="AD5" s="81">
        <f>IF(AD$1&gt;'Project Summary'!$B$7,0,INDEX('MS Project Data - Forecast'!$A$4:$AK$682,MATCH($A5,'MS Project Data - Forecast'!$A$4:$A$682,0),29))</f>
        <v>0</v>
      </c>
      <c r="AE5" s="81">
        <f>IF(AE$1&gt;'Project Summary'!$B$7,0,INDEX('MS Project Data - Forecast'!$A$4:$AK$682,MATCH($A5,'MS Project Data - Forecast'!$A$4:$A$682,0),30))</f>
        <v>0</v>
      </c>
      <c r="AF5" s="81">
        <f>IF(AF$1&gt;'Project Summary'!$B$7,0,INDEX('MS Project Data - Forecast'!$A$4:$AK$682,MATCH($A5,'MS Project Data - Forecast'!$A$4:$A$682,0),31))</f>
        <v>0</v>
      </c>
      <c r="AG5" s="81">
        <f>IF(AG$1&gt;'Project Summary'!$B$7,0,INDEX('MS Project Data - Forecast'!$A$4:$AK$682,MATCH($A5,'MS Project Data - Forecast'!$A$4:$A$682,0),32))</f>
        <v>0</v>
      </c>
      <c r="AH5" s="81">
        <f>IF(AH$1&gt;'Project Summary'!$B$7,0,INDEX('MS Project Data - Forecast'!$A$4:$AK$682,MATCH($A5,'MS Project Data - Forecast'!$A$4:$A$682,0),33))</f>
        <v>0</v>
      </c>
      <c r="AI5" s="81">
        <f>IF(AI$1&gt;'Project Summary'!$B$7,0,INDEX('MS Project Data - Forecast'!$A$4:$AK$682,MATCH($A5,'MS Project Data - Forecast'!$A$4:$A$682,0),34))</f>
        <v>0</v>
      </c>
      <c r="AJ5" s="81">
        <f>IF(AJ$1&gt;'Project Summary'!$B$7,0,INDEX('MS Project Data - Forecast'!$A$4:$AK$682,MATCH($A5,'MS Project Data - Forecast'!$A$4:$A$682,0),35))</f>
        <v>0</v>
      </c>
      <c r="AK5" s="81">
        <f>IF(AK$1&gt;'Project Summary'!$B$7,0,INDEX('MS Project Data - Forecast'!$A$4:$AK$682,MATCH($A5,'MS Project Data - Forecast'!$A$4:$A$682,0),36))</f>
        <v>0</v>
      </c>
      <c r="AL5" s="81">
        <f>IF(AL$1&gt;'Project Summary'!$B$7,0,INDEX('MS Project Data - Forecast'!$A$4:$AK$682,MATCH($A5,'MS Project Data - Forecast'!$A$4:$A$682,0),37))</f>
        <v>0</v>
      </c>
      <c r="AM5" s="82">
        <f>SUM(C5:AL5)</f>
        <v>0</v>
      </c>
    </row>
    <row r="6" spans="1:43" ht="12.6" thickBot="1" x14ac:dyDescent="0.3">
      <c r="A6" s="105" t="s">
        <v>164</v>
      </c>
      <c r="B6" s="405"/>
      <c r="C6" s="83">
        <f>SUBTOTAL(9,C3:C5)</f>
        <v>0</v>
      </c>
      <c r="D6" s="83">
        <f t="shared" ref="D6:AL6" si="1">SUBTOTAL(9,D3:D5)</f>
        <v>0</v>
      </c>
      <c r="E6" s="83">
        <f t="shared" si="1"/>
        <v>0</v>
      </c>
      <c r="F6" s="83">
        <f t="shared" si="1"/>
        <v>0</v>
      </c>
      <c r="G6" s="83">
        <f t="shared" si="1"/>
        <v>0</v>
      </c>
      <c r="H6" s="83">
        <f t="shared" si="1"/>
        <v>0</v>
      </c>
      <c r="I6" s="83">
        <f t="shared" si="1"/>
        <v>0</v>
      </c>
      <c r="J6" s="83">
        <f t="shared" si="1"/>
        <v>0</v>
      </c>
      <c r="K6" s="83">
        <f t="shared" si="1"/>
        <v>0</v>
      </c>
      <c r="L6" s="83">
        <f t="shared" si="1"/>
        <v>0</v>
      </c>
      <c r="M6" s="83">
        <f t="shared" si="1"/>
        <v>0</v>
      </c>
      <c r="N6" s="83">
        <f t="shared" si="1"/>
        <v>0</v>
      </c>
      <c r="O6" s="83">
        <f t="shared" si="1"/>
        <v>0</v>
      </c>
      <c r="P6" s="83">
        <f t="shared" si="1"/>
        <v>0</v>
      </c>
      <c r="Q6" s="83">
        <f t="shared" si="1"/>
        <v>0</v>
      </c>
      <c r="R6" s="83">
        <f t="shared" si="1"/>
        <v>0</v>
      </c>
      <c r="S6" s="83">
        <f t="shared" si="1"/>
        <v>0</v>
      </c>
      <c r="T6" s="83">
        <f t="shared" si="1"/>
        <v>0</v>
      </c>
      <c r="U6" s="83">
        <f t="shared" si="1"/>
        <v>0</v>
      </c>
      <c r="V6" s="83">
        <f t="shared" si="1"/>
        <v>0</v>
      </c>
      <c r="W6" s="83">
        <f t="shared" si="1"/>
        <v>0</v>
      </c>
      <c r="X6" s="83">
        <f t="shared" si="1"/>
        <v>0</v>
      </c>
      <c r="Y6" s="83">
        <f t="shared" si="1"/>
        <v>0</v>
      </c>
      <c r="Z6" s="83">
        <f t="shared" si="1"/>
        <v>0</v>
      </c>
      <c r="AA6" s="83">
        <f t="shared" si="1"/>
        <v>0</v>
      </c>
      <c r="AB6" s="83">
        <f t="shared" si="1"/>
        <v>0</v>
      </c>
      <c r="AC6" s="83">
        <f t="shared" si="1"/>
        <v>0</v>
      </c>
      <c r="AD6" s="83">
        <f t="shared" si="1"/>
        <v>0</v>
      </c>
      <c r="AE6" s="83">
        <f t="shared" si="1"/>
        <v>0</v>
      </c>
      <c r="AF6" s="83">
        <f t="shared" si="1"/>
        <v>0</v>
      </c>
      <c r="AG6" s="83">
        <f t="shared" si="1"/>
        <v>0</v>
      </c>
      <c r="AH6" s="83">
        <f t="shared" si="1"/>
        <v>0</v>
      </c>
      <c r="AI6" s="83">
        <f t="shared" si="1"/>
        <v>0</v>
      </c>
      <c r="AJ6" s="83">
        <f t="shared" si="1"/>
        <v>0</v>
      </c>
      <c r="AK6" s="83">
        <f t="shared" si="1"/>
        <v>0</v>
      </c>
      <c r="AL6" s="83">
        <f t="shared" si="1"/>
        <v>0</v>
      </c>
      <c r="AM6" s="84">
        <f>SUM(C6:AL6)</f>
        <v>0</v>
      </c>
      <c r="AN6" s="21">
        <f>SUBTOTAL(9,AN4:AN5)</f>
        <v>0</v>
      </c>
      <c r="AO6" s="21">
        <f>SUBTOTAL(9,AO4:AO5)</f>
        <v>0</v>
      </c>
      <c r="AP6" s="21">
        <f>SUBTOTAL(9,AP4:AP5)</f>
        <v>0</v>
      </c>
      <c r="AQ6" s="21">
        <f>SUBTOTAL(9,AQ4:AQ5)</f>
        <v>0</v>
      </c>
    </row>
    <row r="7" spans="1:43" x14ac:dyDescent="0.25">
      <c r="A7" s="72" t="s">
        <v>46</v>
      </c>
      <c r="B7" s="406"/>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5"/>
    </row>
    <row r="8" spans="1:43" x14ac:dyDescent="0.25">
      <c r="A8" s="376">
        <v>4</v>
      </c>
      <c r="B8" s="404"/>
      <c r="C8" s="81">
        <f>IF(C$1&gt;'Project Summary'!$B$7,0,INDEX('MS Project Data - Forecast'!$A$4:$AK$682,MATCH($A8,'MS Project Data - Forecast'!$A$4:$A$682,0),2))</f>
        <v>0</v>
      </c>
      <c r="D8" s="81">
        <f>IF(D$1&gt;'Project Summary'!$B$7,0,INDEX('MS Project Data - Forecast'!$A$4:$AK$682,MATCH($A8,'MS Project Data - Forecast'!$A$4:$A$682,0),3))</f>
        <v>0</v>
      </c>
      <c r="E8" s="81">
        <f>IF(E$1&gt;'Project Summary'!$B$7,0,INDEX('MS Project Data - Forecast'!$A$4:$AK$682,MATCH($A8,'MS Project Data - Forecast'!$A$4:$A$682,0),4))</f>
        <v>0</v>
      </c>
      <c r="F8" s="81">
        <f>IF(F$1&gt;'Project Summary'!$B$7,0,INDEX('MS Project Data - Forecast'!$A$4:$AK$682,MATCH($A8,'MS Project Data - Forecast'!$A$4:$A$682,0),5))</f>
        <v>0</v>
      </c>
      <c r="G8" s="81">
        <f>IF(G$1&gt;'Project Summary'!$B$7,0,INDEX('MS Project Data - Forecast'!$A$4:$AK$682,MATCH($A8,'MS Project Data - Forecast'!$A$4:$A$682,0),6))</f>
        <v>0</v>
      </c>
      <c r="H8" s="81">
        <f>IF(H$1&gt;'Project Summary'!$B$7,0,INDEX('MS Project Data - Forecast'!$A$4:$AK$682,MATCH($A8,'MS Project Data - Forecast'!$A$4:$A$682,0),7))</f>
        <v>0</v>
      </c>
      <c r="I8" s="81">
        <f>IF(I$1&gt;'Project Summary'!$B$7,0,INDEX('MS Project Data - Forecast'!$A$4:$AK$682,MATCH($A8,'MS Project Data - Forecast'!$A$4:$A$682,0),8))</f>
        <v>0</v>
      </c>
      <c r="J8" s="81">
        <f>IF(J$1&gt;'Project Summary'!$B$7,0,INDEX('MS Project Data - Forecast'!$A$4:$AK$682,MATCH($A8,'MS Project Data - Forecast'!$A$4:$A$682,0),9))</f>
        <v>0</v>
      </c>
      <c r="K8" s="81">
        <f>IF(K$1&gt;'Project Summary'!$B$7,0,INDEX('MS Project Data - Forecast'!$A$4:$AK$682,MATCH($A8,'MS Project Data - Forecast'!$A$4:$A$682,0),10))</f>
        <v>0</v>
      </c>
      <c r="L8" s="81">
        <f>IF(L$1&gt;'Project Summary'!$B$7,0,INDEX('MS Project Data - Forecast'!$A$4:$AK$682,MATCH($A8,'MS Project Data - Forecast'!$A$4:$A$682,0),11))</f>
        <v>0</v>
      </c>
      <c r="M8" s="81">
        <f>IF(M$1&gt;'Project Summary'!$B$7,0,INDEX('MS Project Data - Forecast'!$A$4:$AK$682,MATCH($A8,'MS Project Data - Forecast'!$A$4:$A$682,0),12))</f>
        <v>0</v>
      </c>
      <c r="N8" s="81">
        <f>IF(N$1&gt;'Project Summary'!$B$7,0,INDEX('MS Project Data - Forecast'!$A$4:$AK$682,MATCH($A8,'MS Project Data - Forecast'!$A$4:$A$682,0),13))</f>
        <v>0</v>
      </c>
      <c r="O8" s="81">
        <f>IF(O$1&gt;'Project Summary'!$B$7,0,INDEX('MS Project Data - Forecast'!$A$4:$AK$682,MATCH($A8,'MS Project Data - Forecast'!$A$4:$A$682,0),14))</f>
        <v>0</v>
      </c>
      <c r="P8" s="81">
        <f>IF(P$1&gt;'Project Summary'!$B$7,0,INDEX('MS Project Data - Forecast'!$A$4:$AK$682,MATCH($A8,'MS Project Data - Forecast'!$A$4:$A$682,0),15))</f>
        <v>0</v>
      </c>
      <c r="Q8" s="81">
        <f>IF(Q$1&gt;'Project Summary'!$B$7,0,INDEX('MS Project Data - Forecast'!$A$4:$AK$682,MATCH($A8,'MS Project Data - Forecast'!$A$4:$A$682,0),16))</f>
        <v>0</v>
      </c>
      <c r="R8" s="81">
        <f>IF(R$1&gt;'Project Summary'!$B$7,0,INDEX('MS Project Data - Forecast'!$A$4:$AK$682,MATCH($A8,'MS Project Data - Forecast'!$A$4:$A$682,0),17))</f>
        <v>0</v>
      </c>
      <c r="S8" s="81">
        <f>IF(S$1&gt;'Project Summary'!$B$7,0,INDEX('MS Project Data - Forecast'!$A$4:$AK$682,MATCH($A8,'MS Project Data - Forecast'!$A$4:$A$682,0),18))</f>
        <v>0</v>
      </c>
      <c r="T8" s="81">
        <f>IF(T$1&gt;'Project Summary'!$B$7,0,INDEX('MS Project Data - Forecast'!$A$4:$AK$682,MATCH($A8,'MS Project Data - Forecast'!$A$4:$A$682,0),19))</f>
        <v>0</v>
      </c>
      <c r="U8" s="81">
        <f>IF(U$1&gt;'Project Summary'!$B$7,0,INDEX('MS Project Data - Forecast'!$A$4:$AK$682,MATCH($A8,'MS Project Data - Forecast'!$A$4:$A$682,0),20))</f>
        <v>0</v>
      </c>
      <c r="V8" s="81">
        <f>IF(V$1&gt;'Project Summary'!$B$7,0,INDEX('MS Project Data - Forecast'!$A$4:$AK$682,MATCH($A8,'MS Project Data - Forecast'!$A$4:$A$682,0),21))</f>
        <v>0</v>
      </c>
      <c r="W8" s="81">
        <f>IF(W$1&gt;'Project Summary'!$B$7,0,INDEX('MS Project Data - Forecast'!$A$4:$AK$682,MATCH($A8,'MS Project Data - Forecast'!$A$4:$A$682,0),22))</f>
        <v>0</v>
      </c>
      <c r="X8" s="81">
        <f>IF(X$1&gt;'Project Summary'!$B$7,0,INDEX('MS Project Data - Forecast'!$A$4:$AK$682,MATCH($A8,'MS Project Data - Forecast'!$A$4:$A$682,0),23))</f>
        <v>0</v>
      </c>
      <c r="Y8" s="81">
        <f>IF(Y$1&gt;'Project Summary'!$B$7,0,INDEX('MS Project Data - Forecast'!$A$4:$AK$682,MATCH($A8,'MS Project Data - Forecast'!$A$4:$A$682,0),24))</f>
        <v>0</v>
      </c>
      <c r="Z8" s="81">
        <f>IF(Z$1&gt;'Project Summary'!$B$7,0,INDEX('MS Project Data - Forecast'!$A$4:$AK$682,MATCH($A8,'MS Project Data - Forecast'!$A$4:$A$682,0),25))</f>
        <v>0</v>
      </c>
      <c r="AA8" s="81">
        <f>IF(AA$1&gt;'Project Summary'!$B$7,0,INDEX('MS Project Data - Forecast'!$A$4:$AK$682,MATCH($A8,'MS Project Data - Forecast'!$A$4:$A$682,0),26))</f>
        <v>0</v>
      </c>
      <c r="AB8" s="81">
        <f>IF(AB$1&gt;'Project Summary'!$B$7,0,INDEX('MS Project Data - Forecast'!$A$4:$AK$682,MATCH($A8,'MS Project Data - Forecast'!$A$4:$A$682,0),27))</f>
        <v>0</v>
      </c>
      <c r="AC8" s="81">
        <f>IF(AC$1&gt;'Project Summary'!$B$7,0,INDEX('MS Project Data - Forecast'!$A$4:$AK$682,MATCH($A8,'MS Project Data - Forecast'!$A$4:$A$682,0),28))</f>
        <v>0</v>
      </c>
      <c r="AD8" s="81">
        <f>IF(AD$1&gt;'Project Summary'!$B$7,0,INDEX('MS Project Data - Forecast'!$A$4:$AK$682,MATCH($A8,'MS Project Data - Forecast'!$A$4:$A$682,0),29))</f>
        <v>0</v>
      </c>
      <c r="AE8" s="81">
        <f>IF(AE$1&gt;'Project Summary'!$B$7,0,INDEX('MS Project Data - Forecast'!$A$4:$AK$682,MATCH($A8,'MS Project Data - Forecast'!$A$4:$A$682,0),30))</f>
        <v>0</v>
      </c>
      <c r="AF8" s="81">
        <f>IF(AF$1&gt;'Project Summary'!$B$7,0,INDEX('MS Project Data - Forecast'!$A$4:$AK$682,MATCH($A8,'MS Project Data - Forecast'!$A$4:$A$682,0),31))</f>
        <v>0</v>
      </c>
      <c r="AG8" s="81">
        <f>IF(AG$1&gt;'Project Summary'!$B$7,0,INDEX('MS Project Data - Forecast'!$A$4:$AK$682,MATCH($A8,'MS Project Data - Forecast'!$A$4:$A$682,0),32))</f>
        <v>0</v>
      </c>
      <c r="AH8" s="81">
        <f>IF(AH$1&gt;'Project Summary'!$B$7,0,INDEX('MS Project Data - Forecast'!$A$4:$AK$682,MATCH($A8,'MS Project Data - Forecast'!$A$4:$A$682,0),33))</f>
        <v>0</v>
      </c>
      <c r="AI8" s="81">
        <f>IF(AI$1&gt;'Project Summary'!$B$7,0,INDEX('MS Project Data - Forecast'!$A$4:$AK$682,MATCH($A8,'MS Project Data - Forecast'!$A$4:$A$682,0),34))</f>
        <v>0</v>
      </c>
      <c r="AJ8" s="81">
        <f>IF(AJ$1&gt;'Project Summary'!$B$7,0,INDEX('MS Project Data - Forecast'!$A$4:$AK$682,MATCH($A8,'MS Project Data - Forecast'!$A$4:$A$682,0),35))</f>
        <v>0</v>
      </c>
      <c r="AK8" s="81">
        <f>IF(AK$1&gt;'Project Summary'!$B$7,0,INDEX('MS Project Data - Forecast'!$A$4:$AK$682,MATCH($A8,'MS Project Data - Forecast'!$A$4:$A$682,0),36))</f>
        <v>0</v>
      </c>
      <c r="AL8" s="81">
        <f>IF(AL$1&gt;'Project Summary'!$B$7,0,INDEX('MS Project Data - Forecast'!$A$4:$AK$682,MATCH($A8,'MS Project Data - Forecast'!$A$4:$A$682,0),37))</f>
        <v>0</v>
      </c>
      <c r="AM8" s="82">
        <f>SUM(C8:AL8)</f>
        <v>0</v>
      </c>
    </row>
    <row r="9" spans="1:43" x14ac:dyDescent="0.25">
      <c r="A9" s="376">
        <v>5</v>
      </c>
      <c r="B9" s="404"/>
      <c r="C9" s="81">
        <f>IF(C$1&gt;'Project Summary'!$B$7,0,INDEX('MS Project Data - Forecast'!$A$4:$AK$682,MATCH($A9,'MS Project Data - Forecast'!$A$4:$A$682,0),2))</f>
        <v>0</v>
      </c>
      <c r="D9" s="81">
        <f>IF(D$1&gt;'Project Summary'!$B$7,0,INDEX('MS Project Data - Forecast'!$A$4:$AK$682,MATCH($A9,'MS Project Data - Forecast'!$A$4:$A$682,0),3))</f>
        <v>0</v>
      </c>
      <c r="E9" s="81">
        <f>IF(E$1&gt;'Project Summary'!$B$7,0,INDEX('MS Project Data - Forecast'!$A$4:$AK$682,MATCH($A9,'MS Project Data - Forecast'!$A$4:$A$682,0),4))</f>
        <v>0</v>
      </c>
      <c r="F9" s="81">
        <f>IF(F$1&gt;'Project Summary'!$B$7,0,INDEX('MS Project Data - Forecast'!$A$4:$AK$682,MATCH($A9,'MS Project Data - Forecast'!$A$4:$A$682,0),5))</f>
        <v>0</v>
      </c>
      <c r="G9" s="81">
        <f>IF(G$1&gt;'Project Summary'!$B$7,0,INDEX('MS Project Data - Forecast'!$A$4:$AK$682,MATCH($A9,'MS Project Data - Forecast'!$A$4:$A$682,0),6))</f>
        <v>0</v>
      </c>
      <c r="H9" s="81">
        <f>IF(H$1&gt;'Project Summary'!$B$7,0,INDEX('MS Project Data - Forecast'!$A$4:$AK$682,MATCH($A9,'MS Project Data - Forecast'!$A$4:$A$682,0),7))</f>
        <v>0</v>
      </c>
      <c r="I9" s="81">
        <f>IF(I$1&gt;'Project Summary'!$B$7,0,INDEX('MS Project Data - Forecast'!$A$4:$AK$682,MATCH($A9,'MS Project Data - Forecast'!$A$4:$A$682,0),8))</f>
        <v>0</v>
      </c>
      <c r="J9" s="81">
        <f>IF(J$1&gt;'Project Summary'!$B$7,0,INDEX('MS Project Data - Forecast'!$A$4:$AK$682,MATCH($A9,'MS Project Data - Forecast'!$A$4:$A$682,0),9))</f>
        <v>0</v>
      </c>
      <c r="K9" s="81">
        <f>IF(K$1&gt;'Project Summary'!$B$7,0,INDEX('MS Project Data - Forecast'!$A$4:$AK$682,MATCH($A9,'MS Project Data - Forecast'!$A$4:$A$682,0),10))</f>
        <v>0</v>
      </c>
      <c r="L9" s="81">
        <f>IF(L$1&gt;'Project Summary'!$B$7,0,INDEX('MS Project Data - Forecast'!$A$4:$AK$682,MATCH($A9,'MS Project Data - Forecast'!$A$4:$A$682,0),11))</f>
        <v>0</v>
      </c>
      <c r="M9" s="81">
        <f>IF(M$1&gt;'Project Summary'!$B$7,0,INDEX('MS Project Data - Forecast'!$A$4:$AK$682,MATCH($A9,'MS Project Data - Forecast'!$A$4:$A$682,0),12))</f>
        <v>0</v>
      </c>
      <c r="N9" s="81">
        <f>IF(N$1&gt;'Project Summary'!$B$7,0,INDEX('MS Project Data - Forecast'!$A$4:$AK$682,MATCH($A9,'MS Project Data - Forecast'!$A$4:$A$682,0),13))</f>
        <v>0</v>
      </c>
      <c r="O9" s="81">
        <f>IF(O$1&gt;'Project Summary'!$B$7,0,INDEX('MS Project Data - Forecast'!$A$4:$AK$682,MATCH($A9,'MS Project Data - Forecast'!$A$4:$A$682,0),14))</f>
        <v>0</v>
      </c>
      <c r="P9" s="81">
        <f>IF(P$1&gt;'Project Summary'!$B$7,0,INDEX('MS Project Data - Forecast'!$A$4:$AK$682,MATCH($A9,'MS Project Data - Forecast'!$A$4:$A$682,0),15))</f>
        <v>0</v>
      </c>
      <c r="Q9" s="81">
        <f>IF(Q$1&gt;'Project Summary'!$B$7,0,INDEX('MS Project Data - Forecast'!$A$4:$AK$682,MATCH($A9,'MS Project Data - Forecast'!$A$4:$A$682,0),16))</f>
        <v>0</v>
      </c>
      <c r="R9" s="81">
        <f>IF(R$1&gt;'Project Summary'!$B$7,0,INDEX('MS Project Data - Forecast'!$A$4:$AK$682,MATCH($A9,'MS Project Data - Forecast'!$A$4:$A$682,0),17))</f>
        <v>0</v>
      </c>
      <c r="S9" s="81">
        <f>IF(S$1&gt;'Project Summary'!$B$7,0,INDEX('MS Project Data - Forecast'!$A$4:$AK$682,MATCH($A9,'MS Project Data - Forecast'!$A$4:$A$682,0),18))</f>
        <v>0</v>
      </c>
      <c r="T9" s="81">
        <f>IF(T$1&gt;'Project Summary'!$B$7,0,INDEX('MS Project Data - Forecast'!$A$4:$AK$682,MATCH($A9,'MS Project Data - Forecast'!$A$4:$A$682,0),19))</f>
        <v>0</v>
      </c>
      <c r="U9" s="81">
        <f>IF(U$1&gt;'Project Summary'!$B$7,0,INDEX('MS Project Data - Forecast'!$A$4:$AK$682,MATCH($A9,'MS Project Data - Forecast'!$A$4:$A$682,0),20))</f>
        <v>0</v>
      </c>
      <c r="V9" s="81">
        <f>IF(V$1&gt;'Project Summary'!$B$7,0,INDEX('MS Project Data - Forecast'!$A$4:$AK$682,MATCH($A9,'MS Project Data - Forecast'!$A$4:$A$682,0),21))</f>
        <v>0</v>
      </c>
      <c r="W9" s="81">
        <f>IF(W$1&gt;'Project Summary'!$B$7,0,INDEX('MS Project Data - Forecast'!$A$4:$AK$682,MATCH($A9,'MS Project Data - Forecast'!$A$4:$A$682,0),22))</f>
        <v>0</v>
      </c>
      <c r="X9" s="81">
        <f>IF(X$1&gt;'Project Summary'!$B$7,0,INDEX('MS Project Data - Forecast'!$A$4:$AK$682,MATCH($A9,'MS Project Data - Forecast'!$A$4:$A$682,0),23))</f>
        <v>0</v>
      </c>
      <c r="Y9" s="81">
        <f>IF(Y$1&gt;'Project Summary'!$B$7,0,INDEX('MS Project Data - Forecast'!$A$4:$AK$682,MATCH($A9,'MS Project Data - Forecast'!$A$4:$A$682,0),24))</f>
        <v>0</v>
      </c>
      <c r="Z9" s="81">
        <f>IF(Z$1&gt;'Project Summary'!$B$7,0,INDEX('MS Project Data - Forecast'!$A$4:$AK$682,MATCH($A9,'MS Project Data - Forecast'!$A$4:$A$682,0),25))</f>
        <v>0</v>
      </c>
      <c r="AA9" s="81">
        <f>IF(AA$1&gt;'Project Summary'!$B$7,0,INDEX('MS Project Data - Forecast'!$A$4:$AK$682,MATCH($A9,'MS Project Data - Forecast'!$A$4:$A$682,0),26))</f>
        <v>0</v>
      </c>
      <c r="AB9" s="81">
        <f>IF(AB$1&gt;'Project Summary'!$B$7,0,INDEX('MS Project Data - Forecast'!$A$4:$AK$682,MATCH($A9,'MS Project Data - Forecast'!$A$4:$A$682,0),27))</f>
        <v>0</v>
      </c>
      <c r="AC9" s="81">
        <f>IF(AC$1&gt;'Project Summary'!$B$7,0,INDEX('MS Project Data - Forecast'!$A$4:$AK$682,MATCH($A9,'MS Project Data - Forecast'!$A$4:$A$682,0),28))</f>
        <v>0</v>
      </c>
      <c r="AD9" s="81">
        <f>IF(AD$1&gt;'Project Summary'!$B$7,0,INDEX('MS Project Data - Forecast'!$A$4:$AK$682,MATCH($A9,'MS Project Data - Forecast'!$A$4:$A$682,0),29))</f>
        <v>0</v>
      </c>
      <c r="AE9" s="81">
        <f>IF(AE$1&gt;'Project Summary'!$B$7,0,INDEX('MS Project Data - Forecast'!$A$4:$AK$682,MATCH($A9,'MS Project Data - Forecast'!$A$4:$A$682,0),30))</f>
        <v>0</v>
      </c>
      <c r="AF9" s="81">
        <f>IF(AF$1&gt;'Project Summary'!$B$7,0,INDEX('MS Project Data - Forecast'!$A$4:$AK$682,MATCH($A9,'MS Project Data - Forecast'!$A$4:$A$682,0),31))</f>
        <v>0</v>
      </c>
      <c r="AG9" s="81">
        <f>IF(AG$1&gt;'Project Summary'!$B$7,0,INDEX('MS Project Data - Forecast'!$A$4:$AK$682,MATCH($A9,'MS Project Data - Forecast'!$A$4:$A$682,0),32))</f>
        <v>0</v>
      </c>
      <c r="AH9" s="81">
        <f>IF(AH$1&gt;'Project Summary'!$B$7,0,INDEX('MS Project Data - Forecast'!$A$4:$AK$682,MATCH($A9,'MS Project Data - Forecast'!$A$4:$A$682,0),33))</f>
        <v>0</v>
      </c>
      <c r="AI9" s="81">
        <f>IF(AI$1&gt;'Project Summary'!$B$7,0,INDEX('MS Project Data - Forecast'!$A$4:$AK$682,MATCH($A9,'MS Project Data - Forecast'!$A$4:$A$682,0),34))</f>
        <v>0</v>
      </c>
      <c r="AJ9" s="81">
        <f>IF(AJ$1&gt;'Project Summary'!$B$7,0,INDEX('MS Project Data - Forecast'!$A$4:$AK$682,MATCH($A9,'MS Project Data - Forecast'!$A$4:$A$682,0),35))</f>
        <v>0</v>
      </c>
      <c r="AK9" s="81">
        <f>IF(AK$1&gt;'Project Summary'!$B$7,0,INDEX('MS Project Data - Forecast'!$A$4:$AK$682,MATCH($A9,'MS Project Data - Forecast'!$A$4:$A$682,0),36))</f>
        <v>0</v>
      </c>
      <c r="AL9" s="81">
        <f>IF(AL$1&gt;'Project Summary'!$B$7,0,INDEX('MS Project Data - Forecast'!$A$4:$AK$682,MATCH($A9,'MS Project Data - Forecast'!$A$4:$A$682,0),37))</f>
        <v>0</v>
      </c>
      <c r="AM9" s="82">
        <f>SUM(C9:AL9)</f>
        <v>0</v>
      </c>
    </row>
    <row r="10" spans="1:43" ht="12.6" thickBot="1" x14ac:dyDescent="0.3">
      <c r="A10" s="73" t="s">
        <v>166</v>
      </c>
      <c r="B10" s="407"/>
      <c r="C10" s="85">
        <f>SUBTOTAL(9,C8:C9)</f>
        <v>0</v>
      </c>
      <c r="D10" s="85">
        <f t="shared" ref="D10" si="2">SUBTOTAL(9,D9:D9)</f>
        <v>0</v>
      </c>
      <c r="E10" s="85">
        <f t="shared" ref="E10" si="3">SUBTOTAL(9,E8:E9)</f>
        <v>0</v>
      </c>
      <c r="F10" s="85">
        <f t="shared" ref="F10" si="4">SUBTOTAL(9,F9:F9)</f>
        <v>0</v>
      </c>
      <c r="G10" s="85">
        <f t="shared" ref="G10" si="5">SUBTOTAL(9,G8:G9)</f>
        <v>0</v>
      </c>
      <c r="H10" s="85">
        <f t="shared" ref="H10" si="6">SUBTOTAL(9,H9:H9)</f>
        <v>0</v>
      </c>
      <c r="I10" s="85">
        <f t="shared" ref="I10" si="7">SUBTOTAL(9,I8:I9)</f>
        <v>0</v>
      </c>
      <c r="J10" s="85">
        <f t="shared" ref="J10" si="8">SUBTOTAL(9,J9:J9)</f>
        <v>0</v>
      </c>
      <c r="K10" s="85">
        <f t="shared" ref="K10" si="9">SUBTOTAL(9,K8:K9)</f>
        <v>0</v>
      </c>
      <c r="L10" s="85">
        <f t="shared" ref="L10" si="10">SUBTOTAL(9,L9:L9)</f>
        <v>0</v>
      </c>
      <c r="M10" s="85">
        <f t="shared" ref="M10" si="11">SUBTOTAL(9,M8:M9)</f>
        <v>0</v>
      </c>
      <c r="N10" s="85">
        <f t="shared" ref="N10" si="12">SUBTOTAL(9,N9:N9)</f>
        <v>0</v>
      </c>
      <c r="O10" s="85">
        <f t="shared" ref="O10" si="13">SUBTOTAL(9,O8:O9)</f>
        <v>0</v>
      </c>
      <c r="P10" s="85">
        <f t="shared" ref="P10" si="14">SUBTOTAL(9,P9:P9)</f>
        <v>0</v>
      </c>
      <c r="Q10" s="85">
        <f t="shared" ref="Q10" si="15">SUBTOTAL(9,Q8:Q9)</f>
        <v>0</v>
      </c>
      <c r="R10" s="85">
        <f t="shared" ref="R10" si="16">SUBTOTAL(9,R9:R9)</f>
        <v>0</v>
      </c>
      <c r="S10" s="85">
        <f t="shared" ref="S10" si="17">SUBTOTAL(9,S8:S9)</f>
        <v>0</v>
      </c>
      <c r="T10" s="85">
        <f t="shared" ref="T10" si="18">SUBTOTAL(9,T9:T9)</f>
        <v>0</v>
      </c>
      <c r="U10" s="85">
        <f t="shared" ref="U10" si="19">SUBTOTAL(9,U8:U9)</f>
        <v>0</v>
      </c>
      <c r="V10" s="85">
        <f t="shared" ref="V10" si="20">SUBTOTAL(9,V9:V9)</f>
        <v>0</v>
      </c>
      <c r="W10" s="85">
        <f t="shared" ref="W10" si="21">SUBTOTAL(9,W8:W9)</f>
        <v>0</v>
      </c>
      <c r="X10" s="85">
        <f t="shared" ref="X10" si="22">SUBTOTAL(9,X9:X9)</f>
        <v>0</v>
      </c>
      <c r="Y10" s="85">
        <f t="shared" ref="Y10" si="23">SUBTOTAL(9,Y8:Y9)</f>
        <v>0</v>
      </c>
      <c r="Z10" s="85">
        <f t="shared" ref="Z10" si="24">SUBTOTAL(9,Z9:Z9)</f>
        <v>0</v>
      </c>
      <c r="AA10" s="85">
        <f t="shared" ref="AA10" si="25">SUBTOTAL(9,AA8:AA9)</f>
        <v>0</v>
      </c>
      <c r="AB10" s="85">
        <f t="shared" ref="AB10" si="26">SUBTOTAL(9,AB9:AB9)</f>
        <v>0</v>
      </c>
      <c r="AC10" s="85">
        <f t="shared" ref="AC10" si="27">SUBTOTAL(9,AC8:AC9)</f>
        <v>0</v>
      </c>
      <c r="AD10" s="85">
        <f t="shared" ref="AD10" si="28">SUBTOTAL(9,AD9:AD9)</f>
        <v>0</v>
      </c>
      <c r="AE10" s="85">
        <f t="shared" ref="AE10" si="29">SUBTOTAL(9,AE8:AE9)</f>
        <v>0</v>
      </c>
      <c r="AF10" s="85">
        <f t="shared" ref="AF10" si="30">SUBTOTAL(9,AF9:AF9)</f>
        <v>0</v>
      </c>
      <c r="AG10" s="85">
        <f t="shared" ref="AG10" si="31">SUBTOTAL(9,AG8:AG9)</f>
        <v>0</v>
      </c>
      <c r="AH10" s="85">
        <f t="shared" ref="AH10" si="32">SUBTOTAL(9,AH9:AH9)</f>
        <v>0</v>
      </c>
      <c r="AI10" s="85">
        <f t="shared" ref="AI10" si="33">SUBTOTAL(9,AI8:AI9)</f>
        <v>0</v>
      </c>
      <c r="AJ10" s="85">
        <f t="shared" ref="AJ10" si="34">SUBTOTAL(9,AJ9:AJ9)</f>
        <v>0</v>
      </c>
      <c r="AK10" s="85">
        <f t="shared" ref="AK10" si="35">SUBTOTAL(9,AK8:AK9)</f>
        <v>0</v>
      </c>
      <c r="AL10" s="85">
        <f t="shared" ref="AL10" si="36">SUBTOTAL(9,AL9:AL9)</f>
        <v>0</v>
      </c>
      <c r="AM10" s="86">
        <f>SUM(C10:AL10)</f>
        <v>0</v>
      </c>
    </row>
    <row r="11" spans="1:43" x14ac:dyDescent="0.25">
      <c r="A11" s="376">
        <v>6</v>
      </c>
      <c r="B11" s="404"/>
      <c r="C11" s="81">
        <f>IF(C$1&gt;'Project Summary'!$B$7,0,INDEX('MS Project Data - Forecast'!$A$4:$AK$682,MATCH($A11,'MS Project Data - Forecast'!$A$4:$A$682,0),2))</f>
        <v>0</v>
      </c>
      <c r="D11" s="81">
        <f>IF(D$1&gt;'Project Summary'!$B$7,0,INDEX('MS Project Data - Forecast'!$A$4:$AK$682,MATCH($A11,'MS Project Data - Forecast'!$A$4:$A$682,0),3))</f>
        <v>0</v>
      </c>
      <c r="E11" s="81">
        <f>IF(E$1&gt;'Project Summary'!$B$7,0,INDEX('MS Project Data - Forecast'!$A$4:$AK$682,MATCH($A11,'MS Project Data - Forecast'!$A$4:$A$682,0),4))</f>
        <v>0</v>
      </c>
      <c r="F11" s="81">
        <f>IF(F$1&gt;'Project Summary'!$B$7,0,INDEX('MS Project Data - Forecast'!$A$4:$AK$682,MATCH($A11,'MS Project Data - Forecast'!$A$4:$A$682,0),5))</f>
        <v>0</v>
      </c>
      <c r="G11" s="81">
        <f>IF(G$1&gt;'Project Summary'!$B$7,0,INDEX('MS Project Data - Forecast'!$A$4:$AK$682,MATCH($A11,'MS Project Data - Forecast'!$A$4:$A$682,0),6))</f>
        <v>0</v>
      </c>
      <c r="H11" s="81">
        <f>IF(H$1&gt;'Project Summary'!$B$7,0,INDEX('MS Project Data - Forecast'!$A$4:$AK$682,MATCH($A11,'MS Project Data - Forecast'!$A$4:$A$682,0),7))</f>
        <v>0</v>
      </c>
      <c r="I11" s="81">
        <f>IF(I$1&gt;'Project Summary'!$B$7,0,INDEX('MS Project Data - Forecast'!$A$4:$AK$682,MATCH($A11,'MS Project Data - Forecast'!$A$4:$A$682,0),8))</f>
        <v>0</v>
      </c>
      <c r="J11" s="81">
        <f>IF(J$1&gt;'Project Summary'!$B$7,0,INDEX('MS Project Data - Forecast'!$A$4:$AK$682,MATCH($A11,'MS Project Data - Forecast'!$A$4:$A$682,0),9))</f>
        <v>0</v>
      </c>
      <c r="K11" s="81">
        <f>IF(K$1&gt;'Project Summary'!$B$7,0,INDEX('MS Project Data - Forecast'!$A$4:$AK$682,MATCH($A11,'MS Project Data - Forecast'!$A$4:$A$682,0),10))</f>
        <v>0</v>
      </c>
      <c r="L11" s="81">
        <f>IF(L$1&gt;'Project Summary'!$B$7,0,INDEX('MS Project Data - Forecast'!$A$4:$AK$682,MATCH($A11,'MS Project Data - Forecast'!$A$4:$A$682,0),11))</f>
        <v>0</v>
      </c>
      <c r="M11" s="81">
        <f>IF(M$1&gt;'Project Summary'!$B$7,0,INDEX('MS Project Data - Forecast'!$A$4:$AK$682,MATCH($A11,'MS Project Data - Forecast'!$A$4:$A$682,0),12))</f>
        <v>0</v>
      </c>
      <c r="N11" s="81">
        <f>IF(N$1&gt;'Project Summary'!$B$7,0,INDEX('MS Project Data - Forecast'!$A$4:$AK$682,MATCH($A11,'MS Project Data - Forecast'!$A$4:$A$682,0),13))</f>
        <v>0</v>
      </c>
      <c r="O11" s="81">
        <f>IF(O$1&gt;'Project Summary'!$B$7,0,INDEX('MS Project Data - Forecast'!$A$4:$AK$682,MATCH($A11,'MS Project Data - Forecast'!$A$4:$A$682,0),14))</f>
        <v>0</v>
      </c>
      <c r="P11" s="81">
        <f>IF(P$1&gt;'Project Summary'!$B$7,0,INDEX('MS Project Data - Forecast'!$A$4:$AK$682,MATCH($A11,'MS Project Data - Forecast'!$A$4:$A$682,0),15))</f>
        <v>0</v>
      </c>
      <c r="Q11" s="81">
        <f>IF(Q$1&gt;'Project Summary'!$B$7,0,INDEX('MS Project Data - Forecast'!$A$4:$AK$682,MATCH($A11,'MS Project Data - Forecast'!$A$4:$A$682,0),16))</f>
        <v>0</v>
      </c>
      <c r="R11" s="81">
        <f>IF(R$1&gt;'Project Summary'!$B$7,0,INDEX('MS Project Data - Forecast'!$A$4:$AK$682,MATCH($A11,'MS Project Data - Forecast'!$A$4:$A$682,0),17))</f>
        <v>0</v>
      </c>
      <c r="S11" s="81">
        <f>IF(S$1&gt;'Project Summary'!$B$7,0,INDEX('MS Project Data - Forecast'!$A$4:$AK$682,MATCH($A11,'MS Project Data - Forecast'!$A$4:$A$682,0),18))</f>
        <v>0</v>
      </c>
      <c r="T11" s="81">
        <f>IF(T$1&gt;'Project Summary'!$B$7,0,INDEX('MS Project Data - Forecast'!$A$4:$AK$682,MATCH($A11,'MS Project Data - Forecast'!$A$4:$A$682,0),19))</f>
        <v>0</v>
      </c>
      <c r="U11" s="81">
        <f>IF(U$1&gt;'Project Summary'!$B$7,0,INDEX('MS Project Data - Forecast'!$A$4:$AK$682,MATCH($A11,'MS Project Data - Forecast'!$A$4:$A$682,0),20))</f>
        <v>0</v>
      </c>
      <c r="V11" s="81">
        <f>IF(V$1&gt;'Project Summary'!$B$7,0,INDEX('MS Project Data - Forecast'!$A$4:$AK$682,MATCH($A11,'MS Project Data - Forecast'!$A$4:$A$682,0),21))</f>
        <v>0</v>
      </c>
      <c r="W11" s="81">
        <f>IF(W$1&gt;'Project Summary'!$B$7,0,INDEX('MS Project Data - Forecast'!$A$4:$AK$682,MATCH($A11,'MS Project Data - Forecast'!$A$4:$A$682,0),22))</f>
        <v>0</v>
      </c>
      <c r="X11" s="81">
        <f>IF(X$1&gt;'Project Summary'!$B$7,0,INDEX('MS Project Data - Forecast'!$A$4:$AK$682,MATCH($A11,'MS Project Data - Forecast'!$A$4:$A$682,0),23))</f>
        <v>0</v>
      </c>
      <c r="Y11" s="81">
        <f>IF(Y$1&gt;'Project Summary'!$B$7,0,INDEX('MS Project Data - Forecast'!$A$4:$AK$682,MATCH($A11,'MS Project Data - Forecast'!$A$4:$A$682,0),24))</f>
        <v>0</v>
      </c>
      <c r="Z11" s="81">
        <f>IF(Z$1&gt;'Project Summary'!$B$7,0,INDEX('MS Project Data - Forecast'!$A$4:$AK$682,MATCH($A11,'MS Project Data - Forecast'!$A$4:$A$682,0),25))</f>
        <v>0</v>
      </c>
      <c r="AA11" s="81">
        <f>IF(AA$1&gt;'Project Summary'!$B$7,0,INDEX('MS Project Data - Forecast'!$A$4:$AK$682,MATCH($A11,'MS Project Data - Forecast'!$A$4:$A$682,0),26))</f>
        <v>0</v>
      </c>
      <c r="AB11" s="81">
        <f>IF(AB$1&gt;'Project Summary'!$B$7,0,INDEX('MS Project Data - Forecast'!$A$4:$AK$682,MATCH($A11,'MS Project Data - Forecast'!$A$4:$A$682,0),27))</f>
        <v>0</v>
      </c>
      <c r="AC11" s="81">
        <f>IF(AC$1&gt;'Project Summary'!$B$7,0,INDEX('MS Project Data - Forecast'!$A$4:$AK$682,MATCH($A11,'MS Project Data - Forecast'!$A$4:$A$682,0),28))</f>
        <v>0</v>
      </c>
      <c r="AD11" s="81">
        <f>IF(AD$1&gt;'Project Summary'!$B$7,0,INDEX('MS Project Data - Forecast'!$A$4:$AK$682,MATCH($A11,'MS Project Data - Forecast'!$A$4:$A$682,0),29))</f>
        <v>0</v>
      </c>
      <c r="AE11" s="81">
        <f>IF(AE$1&gt;'Project Summary'!$B$7,0,INDEX('MS Project Data - Forecast'!$A$4:$AK$682,MATCH($A11,'MS Project Data - Forecast'!$A$4:$A$682,0),30))</f>
        <v>0</v>
      </c>
      <c r="AF11" s="81">
        <f>IF(AF$1&gt;'Project Summary'!$B$7,0,INDEX('MS Project Data - Forecast'!$A$4:$AK$682,MATCH($A11,'MS Project Data - Forecast'!$A$4:$A$682,0),31))</f>
        <v>0</v>
      </c>
      <c r="AG11" s="81">
        <f>IF(AG$1&gt;'Project Summary'!$B$7,0,INDEX('MS Project Data - Forecast'!$A$4:$AK$682,MATCH($A11,'MS Project Data - Forecast'!$A$4:$A$682,0),32))</f>
        <v>0</v>
      </c>
      <c r="AH11" s="81">
        <f>IF(AH$1&gt;'Project Summary'!$B$7,0,INDEX('MS Project Data - Forecast'!$A$4:$AK$682,MATCH($A11,'MS Project Data - Forecast'!$A$4:$A$682,0),33))</f>
        <v>0</v>
      </c>
      <c r="AI11" s="81">
        <f>IF(AI$1&gt;'Project Summary'!$B$7,0,INDEX('MS Project Data - Forecast'!$A$4:$AK$682,MATCH($A11,'MS Project Data - Forecast'!$A$4:$A$682,0),34))</f>
        <v>0</v>
      </c>
      <c r="AJ11" s="81">
        <f>IF(AJ$1&gt;'Project Summary'!$B$7,0,INDEX('MS Project Data - Forecast'!$A$4:$AK$682,MATCH($A11,'MS Project Data - Forecast'!$A$4:$A$682,0),35))</f>
        <v>0</v>
      </c>
      <c r="AK11" s="81">
        <f>IF(AK$1&gt;'Project Summary'!$B$7,0,INDEX('MS Project Data - Forecast'!$A$4:$AK$682,MATCH($A11,'MS Project Data - Forecast'!$A$4:$A$682,0),36))</f>
        <v>0</v>
      </c>
      <c r="AL11" s="81">
        <f>IF(AL$1&gt;'Project Summary'!$B$7,0,INDEX('MS Project Data - Forecast'!$A$4:$AK$682,MATCH($A11,'MS Project Data - Forecast'!$A$4:$A$682,0),37))</f>
        <v>0</v>
      </c>
      <c r="AM11" s="82">
        <f>SUM(C11:AL11)</f>
        <v>0</v>
      </c>
    </row>
    <row r="12" spans="1:43" x14ac:dyDescent="0.25">
      <c r="A12" s="376">
        <v>7</v>
      </c>
      <c r="B12" s="404"/>
      <c r="C12" s="81">
        <f>IF(C$1&gt;'Project Summary'!$B$7,0,INDEX('MS Project Data - Forecast'!$A$4:$AK$682,MATCH($A12,'MS Project Data - Forecast'!$A$4:$A$682,0),2))</f>
        <v>0</v>
      </c>
      <c r="D12" s="81">
        <f>IF(D$1&gt;'Project Summary'!$B$7,0,INDEX('MS Project Data - Forecast'!$A$4:$AK$682,MATCH($A12,'MS Project Data - Forecast'!$A$4:$A$682,0),3))</f>
        <v>0</v>
      </c>
      <c r="E12" s="81">
        <f>IF(E$1&gt;'Project Summary'!$B$7,0,INDEX('MS Project Data - Forecast'!$A$4:$AK$682,MATCH($A12,'MS Project Data - Forecast'!$A$4:$A$682,0),4))</f>
        <v>0</v>
      </c>
      <c r="F12" s="81">
        <f>IF(F$1&gt;'Project Summary'!$B$7,0,INDEX('MS Project Data - Forecast'!$A$4:$AK$682,MATCH($A12,'MS Project Data - Forecast'!$A$4:$A$682,0),5))</f>
        <v>0</v>
      </c>
      <c r="G12" s="81">
        <f>IF(G$1&gt;'Project Summary'!$B$7,0,INDEX('MS Project Data - Forecast'!$A$4:$AK$682,MATCH($A12,'MS Project Data - Forecast'!$A$4:$A$682,0),6))</f>
        <v>0</v>
      </c>
      <c r="H12" s="81">
        <f>IF(H$1&gt;'Project Summary'!$B$7,0,INDEX('MS Project Data - Forecast'!$A$4:$AK$682,MATCH($A12,'MS Project Data - Forecast'!$A$4:$A$682,0),7))</f>
        <v>0</v>
      </c>
      <c r="I12" s="81">
        <f>IF(I$1&gt;'Project Summary'!$B$7,0,INDEX('MS Project Data - Forecast'!$A$4:$AK$682,MATCH($A12,'MS Project Data - Forecast'!$A$4:$A$682,0),8))</f>
        <v>0</v>
      </c>
      <c r="J12" s="81">
        <f>IF(J$1&gt;'Project Summary'!$B$7,0,INDEX('MS Project Data - Forecast'!$A$4:$AK$682,MATCH($A12,'MS Project Data - Forecast'!$A$4:$A$682,0),9))</f>
        <v>0</v>
      </c>
      <c r="K12" s="81">
        <f>IF(K$1&gt;'Project Summary'!$B$7,0,INDEX('MS Project Data - Forecast'!$A$4:$AK$682,MATCH($A12,'MS Project Data - Forecast'!$A$4:$A$682,0),10))</f>
        <v>0</v>
      </c>
      <c r="L12" s="81">
        <f>IF(L$1&gt;'Project Summary'!$B$7,0,INDEX('MS Project Data - Forecast'!$A$4:$AK$682,MATCH($A12,'MS Project Data - Forecast'!$A$4:$A$682,0),11))</f>
        <v>0</v>
      </c>
      <c r="M12" s="81">
        <f>IF(M$1&gt;'Project Summary'!$B$7,0,INDEX('MS Project Data - Forecast'!$A$4:$AK$682,MATCH($A12,'MS Project Data - Forecast'!$A$4:$A$682,0),12))</f>
        <v>0</v>
      </c>
      <c r="N12" s="81">
        <f>IF(N$1&gt;'Project Summary'!$B$7,0,INDEX('MS Project Data - Forecast'!$A$4:$AK$682,MATCH($A12,'MS Project Data - Forecast'!$A$4:$A$682,0),13))</f>
        <v>0</v>
      </c>
      <c r="O12" s="81">
        <f>IF(O$1&gt;'Project Summary'!$B$7,0,INDEX('MS Project Data - Forecast'!$A$4:$AK$682,MATCH($A12,'MS Project Data - Forecast'!$A$4:$A$682,0),14))</f>
        <v>0</v>
      </c>
      <c r="P12" s="81">
        <f>IF(P$1&gt;'Project Summary'!$B$7,0,INDEX('MS Project Data - Forecast'!$A$4:$AK$682,MATCH($A12,'MS Project Data - Forecast'!$A$4:$A$682,0),15))</f>
        <v>0</v>
      </c>
      <c r="Q12" s="81">
        <f>IF(Q$1&gt;'Project Summary'!$B$7,0,INDEX('MS Project Data - Forecast'!$A$4:$AK$682,MATCH($A12,'MS Project Data - Forecast'!$A$4:$A$682,0),16))</f>
        <v>0</v>
      </c>
      <c r="R12" s="81">
        <f>IF(R$1&gt;'Project Summary'!$B$7,0,INDEX('MS Project Data - Forecast'!$A$4:$AK$682,MATCH($A12,'MS Project Data - Forecast'!$A$4:$A$682,0),17))</f>
        <v>0</v>
      </c>
      <c r="S12" s="81">
        <f>IF(S$1&gt;'Project Summary'!$B$7,0,INDEX('MS Project Data - Forecast'!$A$4:$AK$682,MATCH($A12,'MS Project Data - Forecast'!$A$4:$A$682,0),18))</f>
        <v>0</v>
      </c>
      <c r="T12" s="81">
        <f>IF(T$1&gt;'Project Summary'!$B$7,0,INDEX('MS Project Data - Forecast'!$A$4:$AK$682,MATCH($A12,'MS Project Data - Forecast'!$A$4:$A$682,0),19))</f>
        <v>0</v>
      </c>
      <c r="U12" s="81">
        <f>IF(U$1&gt;'Project Summary'!$B$7,0,INDEX('MS Project Data - Forecast'!$A$4:$AK$682,MATCH($A12,'MS Project Data - Forecast'!$A$4:$A$682,0),20))</f>
        <v>0</v>
      </c>
      <c r="V12" s="81">
        <f>IF(V$1&gt;'Project Summary'!$B$7,0,INDEX('MS Project Data - Forecast'!$A$4:$AK$682,MATCH($A12,'MS Project Data - Forecast'!$A$4:$A$682,0),21))</f>
        <v>0</v>
      </c>
      <c r="W12" s="81">
        <f>IF(W$1&gt;'Project Summary'!$B$7,0,INDEX('MS Project Data - Forecast'!$A$4:$AK$682,MATCH($A12,'MS Project Data - Forecast'!$A$4:$A$682,0),22))</f>
        <v>0</v>
      </c>
      <c r="X12" s="81">
        <f>IF(X$1&gt;'Project Summary'!$B$7,0,INDEX('MS Project Data - Forecast'!$A$4:$AK$682,MATCH($A12,'MS Project Data - Forecast'!$A$4:$A$682,0),23))</f>
        <v>0</v>
      </c>
      <c r="Y12" s="81">
        <f>IF(Y$1&gt;'Project Summary'!$B$7,0,INDEX('MS Project Data - Forecast'!$A$4:$AK$682,MATCH($A12,'MS Project Data - Forecast'!$A$4:$A$682,0),24))</f>
        <v>0</v>
      </c>
      <c r="Z12" s="81">
        <f>IF(Z$1&gt;'Project Summary'!$B$7,0,INDEX('MS Project Data - Forecast'!$A$4:$AK$682,MATCH($A12,'MS Project Data - Forecast'!$A$4:$A$682,0),25))</f>
        <v>0</v>
      </c>
      <c r="AA12" s="81">
        <f>IF(AA$1&gt;'Project Summary'!$B$7,0,INDEX('MS Project Data - Forecast'!$A$4:$AK$682,MATCH($A12,'MS Project Data - Forecast'!$A$4:$A$682,0),26))</f>
        <v>0</v>
      </c>
      <c r="AB12" s="81">
        <f>IF(AB$1&gt;'Project Summary'!$B$7,0,INDEX('MS Project Data - Forecast'!$A$4:$AK$682,MATCH($A12,'MS Project Data - Forecast'!$A$4:$A$682,0),27))</f>
        <v>0</v>
      </c>
      <c r="AC12" s="81">
        <f>IF(AC$1&gt;'Project Summary'!$B$7,0,INDEX('MS Project Data - Forecast'!$A$4:$AK$682,MATCH($A12,'MS Project Data - Forecast'!$A$4:$A$682,0),28))</f>
        <v>0</v>
      </c>
      <c r="AD12" s="81">
        <f>IF(AD$1&gt;'Project Summary'!$B$7,0,INDEX('MS Project Data - Forecast'!$A$4:$AK$682,MATCH($A12,'MS Project Data - Forecast'!$A$4:$A$682,0),29))</f>
        <v>0</v>
      </c>
      <c r="AE12" s="81">
        <f>IF(AE$1&gt;'Project Summary'!$B$7,0,INDEX('MS Project Data - Forecast'!$A$4:$AK$682,MATCH($A12,'MS Project Data - Forecast'!$A$4:$A$682,0),30))</f>
        <v>0</v>
      </c>
      <c r="AF12" s="81">
        <f>IF(AF$1&gt;'Project Summary'!$B$7,0,INDEX('MS Project Data - Forecast'!$A$4:$AK$682,MATCH($A12,'MS Project Data - Forecast'!$A$4:$A$682,0),31))</f>
        <v>0</v>
      </c>
      <c r="AG12" s="81">
        <f>IF(AG$1&gt;'Project Summary'!$B$7,0,INDEX('MS Project Data - Forecast'!$A$4:$AK$682,MATCH($A12,'MS Project Data - Forecast'!$A$4:$A$682,0),32))</f>
        <v>0</v>
      </c>
      <c r="AH12" s="81">
        <f>IF(AH$1&gt;'Project Summary'!$B$7,0,INDEX('MS Project Data - Forecast'!$A$4:$AK$682,MATCH($A12,'MS Project Data - Forecast'!$A$4:$A$682,0),33))</f>
        <v>0</v>
      </c>
      <c r="AI12" s="81">
        <f>IF(AI$1&gt;'Project Summary'!$B$7,0,INDEX('MS Project Data - Forecast'!$A$4:$AK$682,MATCH($A12,'MS Project Data - Forecast'!$A$4:$A$682,0),34))</f>
        <v>0</v>
      </c>
      <c r="AJ12" s="81">
        <f>IF(AJ$1&gt;'Project Summary'!$B$7,0,INDEX('MS Project Data - Forecast'!$A$4:$AK$682,MATCH($A12,'MS Project Data - Forecast'!$A$4:$A$682,0),35))</f>
        <v>0</v>
      </c>
      <c r="AK12" s="81">
        <f>IF(AK$1&gt;'Project Summary'!$B$7,0,INDEX('MS Project Data - Forecast'!$A$4:$AK$682,MATCH($A12,'MS Project Data - Forecast'!$A$4:$A$682,0),36))</f>
        <v>0</v>
      </c>
      <c r="AL12" s="81">
        <f>IF(AL$1&gt;'Project Summary'!$B$7,0,INDEX('MS Project Data - Forecast'!$A$4:$AK$682,MATCH($A12,'MS Project Data - Forecast'!$A$4:$A$682,0),37))</f>
        <v>0</v>
      </c>
      <c r="AM12" s="82">
        <f>SUM(C12:AL12)</f>
        <v>0</v>
      </c>
    </row>
    <row r="13" spans="1:43" ht="12.6" thickBot="1" x14ac:dyDescent="0.3">
      <c r="A13" s="73" t="s">
        <v>165</v>
      </c>
      <c r="B13" s="407"/>
      <c r="C13" s="85">
        <f>SUBTOTAL(9,C11:C12)</f>
        <v>0</v>
      </c>
      <c r="D13" s="85">
        <f t="shared" ref="D13:E13" si="37">SUBTOTAL(9,D11:D12)</f>
        <v>0</v>
      </c>
      <c r="E13" s="85">
        <f t="shared" si="37"/>
        <v>0</v>
      </c>
      <c r="F13" s="85">
        <f t="shared" ref="F13:AL13" si="38">SUBTOTAL(9,F11:F12)</f>
        <v>0</v>
      </c>
      <c r="G13" s="85">
        <f t="shared" si="38"/>
        <v>0</v>
      </c>
      <c r="H13" s="85">
        <f t="shared" si="38"/>
        <v>0</v>
      </c>
      <c r="I13" s="85">
        <f t="shared" si="38"/>
        <v>0</v>
      </c>
      <c r="J13" s="85">
        <f t="shared" si="38"/>
        <v>0</v>
      </c>
      <c r="K13" s="85">
        <f t="shared" si="38"/>
        <v>0</v>
      </c>
      <c r="L13" s="85">
        <f t="shared" si="38"/>
        <v>0</v>
      </c>
      <c r="M13" s="85">
        <f t="shared" si="38"/>
        <v>0</v>
      </c>
      <c r="N13" s="85">
        <f t="shared" si="38"/>
        <v>0</v>
      </c>
      <c r="O13" s="85">
        <f t="shared" si="38"/>
        <v>0</v>
      </c>
      <c r="P13" s="85">
        <f t="shared" si="38"/>
        <v>0</v>
      </c>
      <c r="Q13" s="85">
        <f t="shared" si="38"/>
        <v>0</v>
      </c>
      <c r="R13" s="85">
        <f t="shared" si="38"/>
        <v>0</v>
      </c>
      <c r="S13" s="85">
        <f t="shared" si="38"/>
        <v>0</v>
      </c>
      <c r="T13" s="85">
        <f t="shared" si="38"/>
        <v>0</v>
      </c>
      <c r="U13" s="85">
        <f t="shared" si="38"/>
        <v>0</v>
      </c>
      <c r="V13" s="85">
        <f t="shared" si="38"/>
        <v>0</v>
      </c>
      <c r="W13" s="85">
        <f t="shared" si="38"/>
        <v>0</v>
      </c>
      <c r="X13" s="85">
        <f t="shared" si="38"/>
        <v>0</v>
      </c>
      <c r="Y13" s="85">
        <f t="shared" si="38"/>
        <v>0</v>
      </c>
      <c r="Z13" s="85">
        <f t="shared" si="38"/>
        <v>0</v>
      </c>
      <c r="AA13" s="85">
        <f t="shared" si="38"/>
        <v>0</v>
      </c>
      <c r="AB13" s="85">
        <f t="shared" si="38"/>
        <v>0</v>
      </c>
      <c r="AC13" s="85">
        <f t="shared" si="38"/>
        <v>0</v>
      </c>
      <c r="AD13" s="85">
        <f t="shared" si="38"/>
        <v>0</v>
      </c>
      <c r="AE13" s="85">
        <f t="shared" si="38"/>
        <v>0</v>
      </c>
      <c r="AF13" s="85">
        <f t="shared" si="38"/>
        <v>0</v>
      </c>
      <c r="AG13" s="85">
        <f t="shared" si="38"/>
        <v>0</v>
      </c>
      <c r="AH13" s="85">
        <f t="shared" si="38"/>
        <v>0</v>
      </c>
      <c r="AI13" s="85">
        <f t="shared" si="38"/>
        <v>0</v>
      </c>
      <c r="AJ13" s="85">
        <f t="shared" si="38"/>
        <v>0</v>
      </c>
      <c r="AK13" s="85">
        <f t="shared" si="38"/>
        <v>0</v>
      </c>
      <c r="AL13" s="85">
        <f t="shared" si="38"/>
        <v>0</v>
      </c>
      <c r="AM13" s="86">
        <f>SUBTOTAL(9,AM11:AM12)</f>
        <v>0</v>
      </c>
    </row>
    <row r="14" spans="1:43" ht="12.6" thickBot="1" x14ac:dyDescent="0.3">
      <c r="A14" s="106" t="s">
        <v>46</v>
      </c>
      <c r="B14" s="408"/>
      <c r="C14" s="87">
        <f t="shared" ref="C14:D14" si="39">SUBTOTAL(9,C7:C13)</f>
        <v>0</v>
      </c>
      <c r="D14" s="87">
        <f t="shared" si="39"/>
        <v>0</v>
      </c>
      <c r="E14" s="87">
        <f t="shared" ref="E14" si="40">SUBTOTAL(9,E7:E13)</f>
        <v>0</v>
      </c>
      <c r="F14" s="87">
        <f t="shared" ref="F14" si="41">SUBTOTAL(9,F7:F13)</f>
        <v>0</v>
      </c>
      <c r="G14" s="87">
        <f t="shared" ref="G14" si="42">SUBTOTAL(9,G7:G13)</f>
        <v>0</v>
      </c>
      <c r="H14" s="87">
        <f t="shared" ref="H14" si="43">SUBTOTAL(9,H7:H13)</f>
        <v>0</v>
      </c>
      <c r="I14" s="87">
        <f t="shared" ref="I14" si="44">SUBTOTAL(9,I7:I13)</f>
        <v>0</v>
      </c>
      <c r="J14" s="87">
        <f t="shared" ref="J14" si="45">SUBTOTAL(9,J7:J13)</f>
        <v>0</v>
      </c>
      <c r="K14" s="87">
        <f t="shared" ref="K14" si="46">SUBTOTAL(9,K7:K13)</f>
        <v>0</v>
      </c>
      <c r="L14" s="87">
        <f t="shared" ref="L14" si="47">SUBTOTAL(9,L7:L13)</f>
        <v>0</v>
      </c>
      <c r="M14" s="87">
        <f t="shared" ref="M14" si="48">SUBTOTAL(9,M7:M13)</f>
        <v>0</v>
      </c>
      <c r="N14" s="87">
        <f t="shared" ref="N14" si="49">SUBTOTAL(9,N7:N13)</f>
        <v>0</v>
      </c>
      <c r="O14" s="87">
        <f t="shared" ref="O14" si="50">SUBTOTAL(9,O7:O13)</f>
        <v>0</v>
      </c>
      <c r="P14" s="87">
        <f t="shared" ref="P14" si="51">SUBTOTAL(9,P7:P13)</f>
        <v>0</v>
      </c>
      <c r="Q14" s="87">
        <f t="shared" ref="Q14" si="52">SUBTOTAL(9,Q7:Q13)</f>
        <v>0</v>
      </c>
      <c r="R14" s="87">
        <f t="shared" ref="R14" si="53">SUBTOTAL(9,R7:R13)</f>
        <v>0</v>
      </c>
      <c r="S14" s="87">
        <f t="shared" ref="S14" si="54">SUBTOTAL(9,S7:S13)</f>
        <v>0</v>
      </c>
      <c r="T14" s="87">
        <f t="shared" ref="T14" si="55">SUBTOTAL(9,T7:T13)</f>
        <v>0</v>
      </c>
      <c r="U14" s="87">
        <f t="shared" ref="U14" si="56">SUBTOTAL(9,U7:U13)</f>
        <v>0</v>
      </c>
      <c r="V14" s="87">
        <f t="shared" ref="V14" si="57">SUBTOTAL(9,V7:V13)</f>
        <v>0</v>
      </c>
      <c r="W14" s="87">
        <f t="shared" ref="W14" si="58">SUBTOTAL(9,W7:W13)</f>
        <v>0</v>
      </c>
      <c r="X14" s="87">
        <f t="shared" ref="X14" si="59">SUBTOTAL(9,X7:X13)</f>
        <v>0</v>
      </c>
      <c r="Y14" s="87">
        <f t="shared" ref="Y14" si="60">SUBTOTAL(9,Y7:Y13)</f>
        <v>0</v>
      </c>
      <c r="Z14" s="87">
        <f t="shared" ref="Z14" si="61">SUBTOTAL(9,Z7:Z13)</f>
        <v>0</v>
      </c>
      <c r="AA14" s="87">
        <f t="shared" ref="AA14" si="62">SUBTOTAL(9,AA7:AA13)</f>
        <v>0</v>
      </c>
      <c r="AB14" s="87">
        <f t="shared" ref="AB14" si="63">SUBTOTAL(9,AB7:AB13)</f>
        <v>0</v>
      </c>
      <c r="AC14" s="87">
        <f t="shared" ref="AC14" si="64">SUBTOTAL(9,AC7:AC13)</f>
        <v>0</v>
      </c>
      <c r="AD14" s="87">
        <f t="shared" ref="AD14" si="65">SUBTOTAL(9,AD7:AD13)</f>
        <v>0</v>
      </c>
      <c r="AE14" s="87">
        <f t="shared" ref="AE14" si="66">SUBTOTAL(9,AE7:AE13)</f>
        <v>0</v>
      </c>
      <c r="AF14" s="87">
        <f t="shared" ref="AF14" si="67">SUBTOTAL(9,AF7:AF13)</f>
        <v>0</v>
      </c>
      <c r="AG14" s="87">
        <f t="shared" ref="AG14" si="68">SUBTOTAL(9,AG7:AG13)</f>
        <v>0</v>
      </c>
      <c r="AH14" s="87">
        <f t="shared" ref="AH14" si="69">SUBTOTAL(9,AH7:AH13)</f>
        <v>0</v>
      </c>
      <c r="AI14" s="87">
        <f t="shared" ref="AI14" si="70">SUBTOTAL(9,AI7:AI13)</f>
        <v>0</v>
      </c>
      <c r="AJ14" s="87">
        <f t="shared" ref="AJ14" si="71">SUBTOTAL(9,AJ7:AJ13)</f>
        <v>0</v>
      </c>
      <c r="AK14" s="87">
        <f t="shared" ref="AK14" si="72">SUBTOTAL(9,AK7:AK13)</f>
        <v>0</v>
      </c>
      <c r="AL14" s="87">
        <f t="shared" ref="AL14" si="73">SUBTOTAL(9,AL7:AL13)</f>
        <v>0</v>
      </c>
      <c r="AM14" s="88">
        <f>AM13+AM10</f>
        <v>0</v>
      </c>
    </row>
    <row r="15" spans="1:43" ht="12.6" thickBot="1" x14ac:dyDescent="0.3">
      <c r="A15" s="107" t="s">
        <v>47</v>
      </c>
      <c r="B15" s="409"/>
      <c r="C15" s="89">
        <f t="shared" ref="C15:D15" si="74">SUBTOTAL(9,C2:C14)</f>
        <v>0</v>
      </c>
      <c r="D15" s="89">
        <f t="shared" si="74"/>
        <v>0</v>
      </c>
      <c r="E15" s="89">
        <f t="shared" ref="E15" si="75">SUBTOTAL(9,E2:E14)</f>
        <v>0</v>
      </c>
      <c r="F15" s="89">
        <f t="shared" ref="F15" si="76">SUBTOTAL(9,F2:F14)</f>
        <v>0</v>
      </c>
      <c r="G15" s="89">
        <f t="shared" ref="G15" si="77">SUBTOTAL(9,G2:G14)</f>
        <v>0</v>
      </c>
      <c r="H15" s="89">
        <f t="shared" ref="H15" si="78">SUBTOTAL(9,H2:H14)</f>
        <v>0</v>
      </c>
      <c r="I15" s="89">
        <f t="shared" ref="I15" si="79">SUBTOTAL(9,I2:I14)</f>
        <v>0</v>
      </c>
      <c r="J15" s="89">
        <f t="shared" ref="J15" si="80">SUBTOTAL(9,J2:J14)</f>
        <v>0</v>
      </c>
      <c r="K15" s="89">
        <f t="shared" ref="K15" si="81">SUBTOTAL(9,K2:K14)</f>
        <v>0</v>
      </c>
      <c r="L15" s="89">
        <f t="shared" ref="L15" si="82">SUBTOTAL(9,L2:L14)</f>
        <v>0</v>
      </c>
      <c r="M15" s="89">
        <f t="shared" ref="M15" si="83">SUBTOTAL(9,M2:M14)</f>
        <v>0</v>
      </c>
      <c r="N15" s="89">
        <f t="shared" ref="N15" si="84">SUBTOTAL(9,N2:N14)</f>
        <v>0</v>
      </c>
      <c r="O15" s="89">
        <f t="shared" ref="O15" si="85">SUBTOTAL(9,O2:O14)</f>
        <v>0</v>
      </c>
      <c r="P15" s="89">
        <f t="shared" ref="P15" si="86">SUBTOTAL(9,P2:P14)</f>
        <v>0</v>
      </c>
      <c r="Q15" s="89">
        <f t="shared" ref="Q15" si="87">SUBTOTAL(9,Q2:Q14)</f>
        <v>0</v>
      </c>
      <c r="R15" s="89">
        <f t="shared" ref="R15" si="88">SUBTOTAL(9,R2:R14)</f>
        <v>0</v>
      </c>
      <c r="S15" s="89">
        <f t="shared" ref="S15" si="89">SUBTOTAL(9,S2:S14)</f>
        <v>0</v>
      </c>
      <c r="T15" s="89">
        <f t="shared" ref="T15" si="90">SUBTOTAL(9,T2:T14)</f>
        <v>0</v>
      </c>
      <c r="U15" s="89">
        <f t="shared" ref="U15" si="91">SUBTOTAL(9,U2:U14)</f>
        <v>0</v>
      </c>
      <c r="V15" s="89">
        <f t="shared" ref="V15" si="92">SUBTOTAL(9,V2:V14)</f>
        <v>0</v>
      </c>
      <c r="W15" s="89">
        <f t="shared" ref="W15" si="93">SUBTOTAL(9,W2:W14)</f>
        <v>0</v>
      </c>
      <c r="X15" s="89">
        <f t="shared" ref="X15" si="94">SUBTOTAL(9,X2:X14)</f>
        <v>0</v>
      </c>
      <c r="Y15" s="89">
        <f t="shared" ref="Y15" si="95">SUBTOTAL(9,Y2:Y14)</f>
        <v>0</v>
      </c>
      <c r="Z15" s="89">
        <f t="shared" ref="Z15" si="96">SUBTOTAL(9,Z2:Z14)</f>
        <v>0</v>
      </c>
      <c r="AA15" s="89">
        <f t="shared" ref="AA15" si="97">SUBTOTAL(9,AA2:AA14)</f>
        <v>0</v>
      </c>
      <c r="AB15" s="89">
        <f t="shared" ref="AB15" si="98">SUBTOTAL(9,AB2:AB14)</f>
        <v>0</v>
      </c>
      <c r="AC15" s="89">
        <f t="shared" ref="AC15" si="99">SUBTOTAL(9,AC2:AC14)</f>
        <v>0</v>
      </c>
      <c r="AD15" s="89">
        <f t="shared" ref="AD15" si="100">SUBTOTAL(9,AD2:AD14)</f>
        <v>0</v>
      </c>
      <c r="AE15" s="89">
        <f t="shared" ref="AE15" si="101">SUBTOTAL(9,AE2:AE14)</f>
        <v>0</v>
      </c>
      <c r="AF15" s="89">
        <f t="shared" ref="AF15" si="102">SUBTOTAL(9,AF2:AF14)</f>
        <v>0</v>
      </c>
      <c r="AG15" s="89">
        <f t="shared" ref="AG15" si="103">SUBTOTAL(9,AG2:AG14)</f>
        <v>0</v>
      </c>
      <c r="AH15" s="89">
        <f t="shared" ref="AH15" si="104">SUBTOTAL(9,AH2:AH14)</f>
        <v>0</v>
      </c>
      <c r="AI15" s="89">
        <f t="shared" ref="AI15" si="105">SUBTOTAL(9,AI2:AI14)</f>
        <v>0</v>
      </c>
      <c r="AJ15" s="89">
        <f t="shared" ref="AJ15" si="106">SUBTOTAL(9,AJ2:AJ14)</f>
        <v>0</v>
      </c>
      <c r="AK15" s="89">
        <f t="shared" ref="AK15" si="107">SUBTOTAL(9,AK2:AK14)</f>
        <v>0</v>
      </c>
      <c r="AL15" s="89">
        <f t="shared" ref="AL15" si="108">SUBTOTAL(9,AL2:AL14)</f>
        <v>0</v>
      </c>
      <c r="AM15" s="90">
        <f>SUM(C15:AL15)</f>
        <v>0</v>
      </c>
    </row>
    <row r="17" spans="1:39" x14ac:dyDescent="0.2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row>
    <row r="18" spans="1:39" ht="12.6" thickBot="1" x14ac:dyDescent="0.3">
      <c r="A18" s="74" t="s">
        <v>167</v>
      </c>
      <c r="B18" s="410"/>
      <c r="C18" s="77">
        <f>C6</f>
        <v>0</v>
      </c>
      <c r="D18" s="77">
        <f t="shared" ref="D18" si="109">D6</f>
        <v>0</v>
      </c>
      <c r="E18" s="77">
        <f t="shared" ref="E18:AL18" si="110">E6</f>
        <v>0</v>
      </c>
      <c r="F18" s="77">
        <f t="shared" si="110"/>
        <v>0</v>
      </c>
      <c r="G18" s="77">
        <f t="shared" si="110"/>
        <v>0</v>
      </c>
      <c r="H18" s="77">
        <f t="shared" si="110"/>
        <v>0</v>
      </c>
      <c r="I18" s="77">
        <f t="shared" si="110"/>
        <v>0</v>
      </c>
      <c r="J18" s="77">
        <f t="shared" si="110"/>
        <v>0</v>
      </c>
      <c r="K18" s="77">
        <f t="shared" si="110"/>
        <v>0</v>
      </c>
      <c r="L18" s="77">
        <f t="shared" si="110"/>
        <v>0</v>
      </c>
      <c r="M18" s="77">
        <f t="shared" si="110"/>
        <v>0</v>
      </c>
      <c r="N18" s="77">
        <f t="shared" si="110"/>
        <v>0</v>
      </c>
      <c r="O18" s="77">
        <f t="shared" si="110"/>
        <v>0</v>
      </c>
      <c r="P18" s="77">
        <f t="shared" si="110"/>
        <v>0</v>
      </c>
      <c r="Q18" s="77">
        <f t="shared" si="110"/>
        <v>0</v>
      </c>
      <c r="R18" s="77">
        <f t="shared" si="110"/>
        <v>0</v>
      </c>
      <c r="S18" s="77">
        <f t="shared" si="110"/>
        <v>0</v>
      </c>
      <c r="T18" s="77">
        <f t="shared" si="110"/>
        <v>0</v>
      </c>
      <c r="U18" s="77">
        <f t="shared" si="110"/>
        <v>0</v>
      </c>
      <c r="V18" s="77">
        <f t="shared" si="110"/>
        <v>0</v>
      </c>
      <c r="W18" s="77">
        <f t="shared" si="110"/>
        <v>0</v>
      </c>
      <c r="X18" s="77">
        <f t="shared" si="110"/>
        <v>0</v>
      </c>
      <c r="Y18" s="77">
        <f t="shared" si="110"/>
        <v>0</v>
      </c>
      <c r="Z18" s="77">
        <f t="shared" si="110"/>
        <v>0</v>
      </c>
      <c r="AA18" s="77">
        <f t="shared" si="110"/>
        <v>0</v>
      </c>
      <c r="AB18" s="77">
        <f t="shared" si="110"/>
        <v>0</v>
      </c>
      <c r="AC18" s="77">
        <f t="shared" si="110"/>
        <v>0</v>
      </c>
      <c r="AD18" s="77">
        <f t="shared" si="110"/>
        <v>0</v>
      </c>
      <c r="AE18" s="77">
        <f t="shared" si="110"/>
        <v>0</v>
      </c>
      <c r="AF18" s="77">
        <f t="shared" si="110"/>
        <v>0</v>
      </c>
      <c r="AG18" s="77">
        <f t="shared" si="110"/>
        <v>0</v>
      </c>
      <c r="AH18" s="77">
        <f t="shared" si="110"/>
        <v>0</v>
      </c>
      <c r="AI18" s="77">
        <f t="shared" si="110"/>
        <v>0</v>
      </c>
      <c r="AJ18" s="77">
        <f t="shared" si="110"/>
        <v>0</v>
      </c>
      <c r="AK18" s="77">
        <f t="shared" si="110"/>
        <v>0</v>
      </c>
      <c r="AL18" s="77">
        <f t="shared" si="110"/>
        <v>0</v>
      </c>
      <c r="AM18" s="78">
        <f>SUM(C18:AL18)</f>
        <v>0</v>
      </c>
    </row>
    <row r="19" spans="1:39" ht="12.6" thickBot="1" x14ac:dyDescent="0.3">
      <c r="A19" s="75" t="s">
        <v>92</v>
      </c>
      <c r="B19" s="411"/>
      <c r="C19" s="91">
        <f>SUMIF($B$3:$B$5,$A19,C$3:C$5)</f>
        <v>0</v>
      </c>
      <c r="D19" s="91">
        <f>SUMIF($B$3:$B$5,$A19,D$3:D$5)</f>
        <v>0</v>
      </c>
      <c r="E19" s="91">
        <f t="shared" ref="E19:AM20" si="111">SUMIF($B$3:$B$5,$A19,E$3:E$5)</f>
        <v>0</v>
      </c>
      <c r="F19" s="91">
        <f t="shared" si="111"/>
        <v>0</v>
      </c>
      <c r="G19" s="91">
        <f t="shared" si="111"/>
        <v>0</v>
      </c>
      <c r="H19" s="91">
        <f t="shared" si="111"/>
        <v>0</v>
      </c>
      <c r="I19" s="91">
        <f t="shared" si="111"/>
        <v>0</v>
      </c>
      <c r="J19" s="91">
        <f t="shared" si="111"/>
        <v>0</v>
      </c>
      <c r="K19" s="91">
        <f t="shared" si="111"/>
        <v>0</v>
      </c>
      <c r="L19" s="91">
        <f t="shared" si="111"/>
        <v>0</v>
      </c>
      <c r="M19" s="91">
        <f t="shared" si="111"/>
        <v>0</v>
      </c>
      <c r="N19" s="91">
        <f t="shared" si="111"/>
        <v>0</v>
      </c>
      <c r="O19" s="91">
        <f t="shared" si="111"/>
        <v>0</v>
      </c>
      <c r="P19" s="91">
        <f t="shared" si="111"/>
        <v>0</v>
      </c>
      <c r="Q19" s="91">
        <f t="shared" si="111"/>
        <v>0</v>
      </c>
      <c r="R19" s="91">
        <f t="shared" si="111"/>
        <v>0</v>
      </c>
      <c r="S19" s="91">
        <f t="shared" si="111"/>
        <v>0</v>
      </c>
      <c r="T19" s="91">
        <f t="shared" si="111"/>
        <v>0</v>
      </c>
      <c r="U19" s="91">
        <f t="shared" si="111"/>
        <v>0</v>
      </c>
      <c r="V19" s="91">
        <f t="shared" si="111"/>
        <v>0</v>
      </c>
      <c r="W19" s="91">
        <f t="shared" si="111"/>
        <v>0</v>
      </c>
      <c r="X19" s="91">
        <f t="shared" si="111"/>
        <v>0</v>
      </c>
      <c r="Y19" s="91">
        <f t="shared" si="111"/>
        <v>0</v>
      </c>
      <c r="Z19" s="91">
        <f t="shared" si="111"/>
        <v>0</v>
      </c>
      <c r="AA19" s="91">
        <f t="shared" si="111"/>
        <v>0</v>
      </c>
      <c r="AB19" s="91">
        <f t="shared" si="111"/>
        <v>0</v>
      </c>
      <c r="AC19" s="91">
        <f t="shared" si="111"/>
        <v>0</v>
      </c>
      <c r="AD19" s="91">
        <f t="shared" si="111"/>
        <v>0</v>
      </c>
      <c r="AE19" s="91">
        <f t="shared" si="111"/>
        <v>0</v>
      </c>
      <c r="AF19" s="91">
        <f t="shared" si="111"/>
        <v>0</v>
      </c>
      <c r="AG19" s="91">
        <f t="shared" si="111"/>
        <v>0</v>
      </c>
      <c r="AH19" s="91">
        <f t="shared" si="111"/>
        <v>0</v>
      </c>
      <c r="AI19" s="91">
        <f t="shared" si="111"/>
        <v>0</v>
      </c>
      <c r="AJ19" s="91">
        <f t="shared" si="111"/>
        <v>0</v>
      </c>
      <c r="AK19" s="91">
        <f t="shared" si="111"/>
        <v>0</v>
      </c>
      <c r="AL19" s="91">
        <f t="shared" si="111"/>
        <v>0</v>
      </c>
      <c r="AM19" s="91">
        <f t="shared" si="111"/>
        <v>0</v>
      </c>
    </row>
    <row r="20" spans="1:39" ht="12.6" thickBot="1" x14ac:dyDescent="0.3">
      <c r="A20" s="75" t="s">
        <v>34</v>
      </c>
      <c r="B20" s="411"/>
      <c r="C20" s="91">
        <f>SUMIF($B$3:$B$5,$A20,C$3:C$5)</f>
        <v>0</v>
      </c>
      <c r="D20" s="91">
        <f>SUMIF($B$3:$B$5,$A20,D$3:D$5)</f>
        <v>0</v>
      </c>
      <c r="E20" s="91">
        <f t="shared" si="111"/>
        <v>0</v>
      </c>
      <c r="F20" s="91">
        <f t="shared" si="111"/>
        <v>0</v>
      </c>
      <c r="G20" s="91">
        <f t="shared" si="111"/>
        <v>0</v>
      </c>
      <c r="H20" s="91">
        <f t="shared" si="111"/>
        <v>0</v>
      </c>
      <c r="I20" s="91">
        <f t="shared" si="111"/>
        <v>0</v>
      </c>
      <c r="J20" s="91">
        <f t="shared" si="111"/>
        <v>0</v>
      </c>
      <c r="K20" s="91">
        <f t="shared" si="111"/>
        <v>0</v>
      </c>
      <c r="L20" s="91">
        <f t="shared" si="111"/>
        <v>0</v>
      </c>
      <c r="M20" s="91">
        <f t="shared" si="111"/>
        <v>0</v>
      </c>
      <c r="N20" s="91">
        <f t="shared" si="111"/>
        <v>0</v>
      </c>
      <c r="O20" s="91">
        <f t="shared" si="111"/>
        <v>0</v>
      </c>
      <c r="P20" s="91">
        <f t="shared" si="111"/>
        <v>0</v>
      </c>
      <c r="Q20" s="91">
        <f t="shared" si="111"/>
        <v>0</v>
      </c>
      <c r="R20" s="91">
        <f t="shared" si="111"/>
        <v>0</v>
      </c>
      <c r="S20" s="91">
        <f t="shared" si="111"/>
        <v>0</v>
      </c>
      <c r="T20" s="91">
        <f t="shared" si="111"/>
        <v>0</v>
      </c>
      <c r="U20" s="91">
        <f t="shared" si="111"/>
        <v>0</v>
      </c>
      <c r="V20" s="91">
        <f t="shared" si="111"/>
        <v>0</v>
      </c>
      <c r="W20" s="91">
        <f t="shared" si="111"/>
        <v>0</v>
      </c>
      <c r="X20" s="91">
        <f t="shared" si="111"/>
        <v>0</v>
      </c>
      <c r="Y20" s="91">
        <f t="shared" si="111"/>
        <v>0</v>
      </c>
      <c r="Z20" s="91">
        <f t="shared" si="111"/>
        <v>0</v>
      </c>
      <c r="AA20" s="91">
        <f t="shared" si="111"/>
        <v>0</v>
      </c>
      <c r="AB20" s="91">
        <f t="shared" si="111"/>
        <v>0</v>
      </c>
      <c r="AC20" s="91">
        <f t="shared" si="111"/>
        <v>0</v>
      </c>
      <c r="AD20" s="91">
        <f t="shared" si="111"/>
        <v>0</v>
      </c>
      <c r="AE20" s="91">
        <f t="shared" si="111"/>
        <v>0</v>
      </c>
      <c r="AF20" s="91">
        <f t="shared" si="111"/>
        <v>0</v>
      </c>
      <c r="AG20" s="91">
        <f t="shared" si="111"/>
        <v>0</v>
      </c>
      <c r="AH20" s="91">
        <f t="shared" si="111"/>
        <v>0</v>
      </c>
      <c r="AI20" s="91">
        <f t="shared" si="111"/>
        <v>0</v>
      </c>
      <c r="AJ20" s="91">
        <f t="shared" si="111"/>
        <v>0</v>
      </c>
      <c r="AK20" s="91">
        <f t="shared" si="111"/>
        <v>0</v>
      </c>
      <c r="AL20" s="91">
        <f t="shared" si="111"/>
        <v>0</v>
      </c>
      <c r="AM20" s="91">
        <f t="shared" si="111"/>
        <v>0</v>
      </c>
    </row>
    <row r="21" spans="1:39" x14ac:dyDescent="0.25">
      <c r="A21" s="76"/>
      <c r="B21" s="76"/>
    </row>
    <row r="22" spans="1:39" ht="12.6" thickBot="1" x14ac:dyDescent="0.3">
      <c r="A22" s="74" t="s">
        <v>168</v>
      </c>
      <c r="B22" s="410"/>
      <c r="C22" s="79">
        <f>C18*80</f>
        <v>0</v>
      </c>
      <c r="D22" s="79">
        <f t="shared" ref="D22" si="112">D18*80</f>
        <v>0</v>
      </c>
      <c r="E22" s="79">
        <f t="shared" ref="E22:AL22" si="113">E18*80</f>
        <v>0</v>
      </c>
      <c r="F22" s="79">
        <f t="shared" si="113"/>
        <v>0</v>
      </c>
      <c r="G22" s="79">
        <f t="shared" si="113"/>
        <v>0</v>
      </c>
      <c r="H22" s="79">
        <f t="shared" si="113"/>
        <v>0</v>
      </c>
      <c r="I22" s="79">
        <f t="shared" si="113"/>
        <v>0</v>
      </c>
      <c r="J22" s="79">
        <f t="shared" si="113"/>
        <v>0</v>
      </c>
      <c r="K22" s="79">
        <f t="shared" si="113"/>
        <v>0</v>
      </c>
      <c r="L22" s="79">
        <f t="shared" si="113"/>
        <v>0</v>
      </c>
      <c r="M22" s="79">
        <f t="shared" si="113"/>
        <v>0</v>
      </c>
      <c r="N22" s="79">
        <f t="shared" si="113"/>
        <v>0</v>
      </c>
      <c r="O22" s="79">
        <f t="shared" si="113"/>
        <v>0</v>
      </c>
      <c r="P22" s="79">
        <f t="shared" si="113"/>
        <v>0</v>
      </c>
      <c r="Q22" s="79">
        <f t="shared" si="113"/>
        <v>0</v>
      </c>
      <c r="R22" s="79">
        <f t="shared" si="113"/>
        <v>0</v>
      </c>
      <c r="S22" s="79">
        <f t="shared" si="113"/>
        <v>0</v>
      </c>
      <c r="T22" s="79">
        <f t="shared" si="113"/>
        <v>0</v>
      </c>
      <c r="U22" s="79">
        <f t="shared" si="113"/>
        <v>0</v>
      </c>
      <c r="V22" s="79">
        <f t="shared" si="113"/>
        <v>0</v>
      </c>
      <c r="W22" s="79">
        <f t="shared" si="113"/>
        <v>0</v>
      </c>
      <c r="X22" s="79">
        <f t="shared" si="113"/>
        <v>0</v>
      </c>
      <c r="Y22" s="79">
        <f t="shared" si="113"/>
        <v>0</v>
      </c>
      <c r="Z22" s="79">
        <f t="shared" si="113"/>
        <v>0</v>
      </c>
      <c r="AA22" s="79">
        <f t="shared" si="113"/>
        <v>0</v>
      </c>
      <c r="AB22" s="79">
        <f t="shared" si="113"/>
        <v>0</v>
      </c>
      <c r="AC22" s="79">
        <f t="shared" si="113"/>
        <v>0</v>
      </c>
      <c r="AD22" s="79">
        <f t="shared" si="113"/>
        <v>0</v>
      </c>
      <c r="AE22" s="79">
        <f t="shared" si="113"/>
        <v>0</v>
      </c>
      <c r="AF22" s="79">
        <f t="shared" si="113"/>
        <v>0</v>
      </c>
      <c r="AG22" s="79">
        <f t="shared" si="113"/>
        <v>0</v>
      </c>
      <c r="AH22" s="79">
        <f t="shared" si="113"/>
        <v>0</v>
      </c>
      <c r="AI22" s="79">
        <f t="shared" si="113"/>
        <v>0</v>
      </c>
      <c r="AJ22" s="79">
        <f t="shared" si="113"/>
        <v>0</v>
      </c>
      <c r="AK22" s="79">
        <f t="shared" si="113"/>
        <v>0</v>
      </c>
      <c r="AL22" s="79">
        <f t="shared" si="113"/>
        <v>0</v>
      </c>
      <c r="AM22" s="80">
        <f>SUM(C22:AL22)</f>
        <v>0</v>
      </c>
    </row>
    <row r="23" spans="1:39" ht="12.6" thickBot="1" x14ac:dyDescent="0.3">
      <c r="A23" s="75" t="s">
        <v>92</v>
      </c>
      <c r="B23" s="411"/>
      <c r="C23" s="412">
        <f>C19*Assumptions!$B$6</f>
        <v>0</v>
      </c>
      <c r="D23" s="412">
        <f>D19*Assumptions!$B$6</f>
        <v>0</v>
      </c>
      <c r="E23" s="412">
        <f>E19*Assumptions!$B$6</f>
        <v>0</v>
      </c>
      <c r="F23" s="412">
        <f>F19*Assumptions!$B$6</f>
        <v>0</v>
      </c>
      <c r="G23" s="412">
        <f>G19*Assumptions!$B$6</f>
        <v>0</v>
      </c>
      <c r="H23" s="412">
        <f>H19*Assumptions!$B$6</f>
        <v>0</v>
      </c>
      <c r="I23" s="412">
        <f>I19*Assumptions!$B$6</f>
        <v>0</v>
      </c>
      <c r="J23" s="412">
        <f>J19*Assumptions!$B$6</f>
        <v>0</v>
      </c>
      <c r="K23" s="412">
        <f>K19*Assumptions!$B$6</f>
        <v>0</v>
      </c>
      <c r="L23" s="412">
        <f>L19*Assumptions!$B$6</f>
        <v>0</v>
      </c>
      <c r="M23" s="412">
        <f>M19*Assumptions!$B$6</f>
        <v>0</v>
      </c>
      <c r="N23" s="412">
        <f>N19*Assumptions!$B$6</f>
        <v>0</v>
      </c>
      <c r="O23" s="412">
        <f>O19*Assumptions!$B$6</f>
        <v>0</v>
      </c>
      <c r="P23" s="412">
        <f>P19*Assumptions!$B$6</f>
        <v>0</v>
      </c>
      <c r="Q23" s="412">
        <f>Q19*Assumptions!$B$6</f>
        <v>0</v>
      </c>
      <c r="R23" s="412">
        <f>R19*Assumptions!$B$6</f>
        <v>0</v>
      </c>
      <c r="S23" s="412">
        <f>S19*Assumptions!$B$6</f>
        <v>0</v>
      </c>
      <c r="T23" s="412">
        <f>T19*Assumptions!$B$6</f>
        <v>0</v>
      </c>
      <c r="U23" s="412">
        <f>U19*Assumptions!$B$6</f>
        <v>0</v>
      </c>
      <c r="V23" s="412">
        <f>V19*Assumptions!$B$6</f>
        <v>0</v>
      </c>
      <c r="W23" s="412">
        <f>W19*Assumptions!$B$6</f>
        <v>0</v>
      </c>
      <c r="X23" s="412">
        <f>X19*Assumptions!$B$6</f>
        <v>0</v>
      </c>
      <c r="Y23" s="412">
        <f>Y19*Assumptions!$B$6</f>
        <v>0</v>
      </c>
      <c r="Z23" s="412">
        <f>Z19*Assumptions!$B$6</f>
        <v>0</v>
      </c>
      <c r="AA23" s="412">
        <f>AA19*Assumptions!$B$6</f>
        <v>0</v>
      </c>
      <c r="AB23" s="412">
        <f>AB19*Assumptions!$B$6</f>
        <v>0</v>
      </c>
      <c r="AC23" s="412">
        <f>AC19*Assumptions!$B$6</f>
        <v>0</v>
      </c>
      <c r="AD23" s="412">
        <f>AD19*Assumptions!$B$6</f>
        <v>0</v>
      </c>
      <c r="AE23" s="412">
        <f>AE19*Assumptions!$B$6</f>
        <v>0</v>
      </c>
      <c r="AF23" s="412">
        <f>AF19*Assumptions!$B$6</f>
        <v>0</v>
      </c>
      <c r="AG23" s="412">
        <f>AG19*Assumptions!$B$6</f>
        <v>0</v>
      </c>
      <c r="AH23" s="412">
        <f>AH19*Assumptions!$B$6</f>
        <v>0</v>
      </c>
      <c r="AI23" s="412">
        <f>AI19*Assumptions!$B$6</f>
        <v>0</v>
      </c>
      <c r="AJ23" s="412">
        <f>AJ19*Assumptions!$B$6</f>
        <v>0</v>
      </c>
      <c r="AK23" s="412">
        <f>AK19*Assumptions!$B$6</f>
        <v>0</v>
      </c>
      <c r="AL23" s="412">
        <f>AL19*Assumptions!$B$6</f>
        <v>0</v>
      </c>
      <c r="AM23" s="412">
        <f>AM19*Assumptions!$B$6</f>
        <v>0</v>
      </c>
    </row>
    <row r="24" spans="1:39" ht="12.6" thickBot="1" x14ac:dyDescent="0.3">
      <c r="A24" s="75" t="s">
        <v>34</v>
      </c>
      <c r="B24" s="411"/>
      <c r="C24" s="412">
        <f>C20*Assumptions!$B$6</f>
        <v>0</v>
      </c>
      <c r="D24" s="412">
        <f>D20*Assumptions!$B$6</f>
        <v>0</v>
      </c>
      <c r="E24" s="412">
        <f>E20*Assumptions!$B$6</f>
        <v>0</v>
      </c>
      <c r="F24" s="412">
        <f>F20*Assumptions!$B$6</f>
        <v>0</v>
      </c>
      <c r="G24" s="412">
        <f>G20*Assumptions!$B$6</f>
        <v>0</v>
      </c>
      <c r="H24" s="412">
        <f>H20*Assumptions!$B$6</f>
        <v>0</v>
      </c>
      <c r="I24" s="412">
        <f>I20*Assumptions!$B$6</f>
        <v>0</v>
      </c>
      <c r="J24" s="412">
        <f>J20*Assumptions!$B$6</f>
        <v>0</v>
      </c>
      <c r="K24" s="412">
        <f>K20*Assumptions!$B$6</f>
        <v>0</v>
      </c>
      <c r="L24" s="412">
        <f>L20*Assumptions!$B$6</f>
        <v>0</v>
      </c>
      <c r="M24" s="412">
        <f>M20*Assumptions!$B$6</f>
        <v>0</v>
      </c>
      <c r="N24" s="412">
        <f>N20*Assumptions!$B$6</f>
        <v>0</v>
      </c>
      <c r="O24" s="412">
        <f>O20*Assumptions!$B$6</f>
        <v>0</v>
      </c>
      <c r="P24" s="412">
        <f>P20*Assumptions!$B$6</f>
        <v>0</v>
      </c>
      <c r="Q24" s="412">
        <f>Q20*Assumptions!$B$6</f>
        <v>0</v>
      </c>
      <c r="R24" s="412">
        <f>R20*Assumptions!$B$6</f>
        <v>0</v>
      </c>
      <c r="S24" s="412">
        <f>S20*Assumptions!$B$6</f>
        <v>0</v>
      </c>
      <c r="T24" s="412">
        <f>T20*Assumptions!$B$6</f>
        <v>0</v>
      </c>
      <c r="U24" s="412">
        <f>U20*Assumptions!$B$6</f>
        <v>0</v>
      </c>
      <c r="V24" s="412">
        <f>V20*Assumptions!$B$6</f>
        <v>0</v>
      </c>
      <c r="W24" s="412">
        <f>W20*Assumptions!$B$6</f>
        <v>0</v>
      </c>
      <c r="X24" s="412">
        <f>X20*Assumptions!$B$6</f>
        <v>0</v>
      </c>
      <c r="Y24" s="412">
        <f>Y20*Assumptions!$B$6</f>
        <v>0</v>
      </c>
      <c r="Z24" s="412">
        <f>Z20*Assumptions!$B$6</f>
        <v>0</v>
      </c>
      <c r="AA24" s="412">
        <f>AA20*Assumptions!$B$6</f>
        <v>0</v>
      </c>
      <c r="AB24" s="412">
        <f>AB20*Assumptions!$B$6</f>
        <v>0</v>
      </c>
      <c r="AC24" s="412">
        <f>AC20*Assumptions!$B$6</f>
        <v>0</v>
      </c>
      <c r="AD24" s="412">
        <f>AD20*Assumptions!$B$6</f>
        <v>0</v>
      </c>
      <c r="AE24" s="412">
        <f>AE20*Assumptions!$B$6</f>
        <v>0</v>
      </c>
      <c r="AF24" s="412">
        <f>AF20*Assumptions!$B$6</f>
        <v>0</v>
      </c>
      <c r="AG24" s="412">
        <f>AG20*Assumptions!$B$6</f>
        <v>0</v>
      </c>
      <c r="AH24" s="412">
        <f>AH20*Assumptions!$B$6</f>
        <v>0</v>
      </c>
      <c r="AI24" s="412">
        <f>AI20*Assumptions!$B$6</f>
        <v>0</v>
      </c>
      <c r="AJ24" s="412">
        <f>AJ20*Assumptions!$B$6</f>
        <v>0</v>
      </c>
      <c r="AK24" s="412">
        <f>AK20*Assumptions!$B$6</f>
        <v>0</v>
      </c>
      <c r="AL24" s="412">
        <f>AL20*Assumptions!$B$6</f>
        <v>0</v>
      </c>
      <c r="AM24" s="412">
        <f>AM20*Assumptions!$B$6</f>
        <v>0</v>
      </c>
    </row>
  </sheetData>
  <pageMargins left="0.7" right="0.7" top="0.75" bottom="0.75" header="0.3" footer="0.3"/>
  <pageSetup orientation="landscape" r:id="rId1"/>
  <headerFooter alignWithMargins="0">
    <oddHeader>&amp;C&amp;"Arial,Bold"&amp;14&amp;A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10"/>
  <sheetViews>
    <sheetView zoomScaleNormal="100" workbookViewId="0">
      <pane xSplit="1" ySplit="3" topLeftCell="B4" activePane="bottomRight" state="frozen"/>
      <selection pane="topRight" activeCell="C1" sqref="C1"/>
      <selection pane="bottomLeft" activeCell="A4" sqref="A4"/>
      <selection pane="bottomRight" activeCell="M17" sqref="M17"/>
    </sheetView>
  </sheetViews>
  <sheetFormatPr defaultRowHeight="14.4" x14ac:dyDescent="0.3"/>
  <cols>
    <col min="1" max="1" width="28.109375" style="54" customWidth="1"/>
    <col min="2" max="37" width="8" style="55" customWidth="1"/>
  </cols>
  <sheetData>
    <row r="1" spans="1:37" ht="15" thickBot="1" x14ac:dyDescent="0.35">
      <c r="A1" s="377"/>
      <c r="B1" s="378" t="str">
        <f>IF(B2&gt;'Project Summary'!$B$7,"Forecast","Actuals")</f>
        <v>Forecast</v>
      </c>
      <c r="C1" s="378" t="str">
        <f>IF(C2&gt;'Project Summary'!$B$7,"Forecast","Actuals")</f>
        <v>Forecast</v>
      </c>
      <c r="D1" s="378" t="str">
        <f>IF(D2&gt;'Project Summary'!$B$7,"Forecast","Actuals")</f>
        <v>Forecast</v>
      </c>
      <c r="E1" s="378" t="str">
        <f>IF(E2&gt;'Project Summary'!$B$7,"Forecast","Actuals")</f>
        <v>Forecast</v>
      </c>
      <c r="F1" s="378" t="str">
        <f>IF(F2&gt;'Project Summary'!$B$7,"Forecast","Actuals")</f>
        <v>Forecast</v>
      </c>
      <c r="G1" s="378" t="str">
        <f>IF(G2&gt;'Project Summary'!$B$7,"Forecast","Actuals")</f>
        <v>Forecast</v>
      </c>
      <c r="H1" s="378" t="str">
        <f>IF(H2&gt;'Project Summary'!$B$7,"Forecast","Actuals")</f>
        <v>Forecast</v>
      </c>
      <c r="I1" s="378" t="str">
        <f>IF(I2&gt;'Project Summary'!$B$7,"Forecast","Actuals")</f>
        <v>Forecast</v>
      </c>
      <c r="J1" s="378" t="str">
        <f>IF(J2&gt;'Project Summary'!$B$7,"Forecast","Actuals")</f>
        <v>Forecast</v>
      </c>
      <c r="K1" s="378" t="str">
        <f>IF(K2&gt;'Project Summary'!$B$7,"Forecast","Actuals")</f>
        <v>Forecast</v>
      </c>
      <c r="L1" s="378" t="str">
        <f>IF(L2&gt;'Project Summary'!$B$7,"Forecast","Actuals")</f>
        <v>Forecast</v>
      </c>
      <c r="M1" s="378" t="str">
        <f>IF(M2&gt;'Project Summary'!$B$7,"Forecast","Actuals")</f>
        <v>Forecast</v>
      </c>
      <c r="N1" s="378" t="str">
        <f>IF(N2&gt;'Project Summary'!$B$7,"Forecast","Actuals")</f>
        <v>Forecast</v>
      </c>
      <c r="O1" s="378" t="str">
        <f>IF(O2&gt;'Project Summary'!$B$7,"Forecast","Actuals")</f>
        <v>Forecast</v>
      </c>
      <c r="P1" s="378" t="str">
        <f>IF(P2&gt;'Project Summary'!$B$7,"Forecast","Actuals")</f>
        <v>Forecast</v>
      </c>
      <c r="Q1" s="378" t="str">
        <f>IF(Q2&gt;'Project Summary'!$B$7,"Forecast","Actuals")</f>
        <v>Forecast</v>
      </c>
      <c r="R1" s="378" t="str">
        <f>IF(R2&gt;'Project Summary'!$B$7,"Forecast","Actuals")</f>
        <v>Forecast</v>
      </c>
      <c r="S1" s="378" t="str">
        <f>IF(S2&gt;'Project Summary'!$B$7,"Forecast","Actuals")</f>
        <v>Forecast</v>
      </c>
      <c r="T1" s="378" t="str">
        <f>IF(T2&gt;'Project Summary'!$B$7,"Forecast","Actuals")</f>
        <v>Forecast</v>
      </c>
      <c r="U1" s="378" t="str">
        <f>IF(U2&gt;'Project Summary'!$B$7,"Forecast","Actuals")</f>
        <v>Forecast</v>
      </c>
      <c r="V1" s="378" t="str">
        <f>IF(V2&gt;'Project Summary'!$B$7,"Forecast","Actuals")</f>
        <v>Forecast</v>
      </c>
      <c r="W1" s="378" t="str">
        <f>IF(W2&gt;'Project Summary'!$B$7,"Forecast","Actuals")</f>
        <v>Forecast</v>
      </c>
      <c r="X1" s="378" t="str">
        <f>IF(X2&gt;'Project Summary'!$B$7,"Forecast","Actuals")</f>
        <v>Forecast</v>
      </c>
      <c r="Y1" s="378" t="str">
        <f>IF(Y2&gt;'Project Summary'!$B$7,"Forecast","Actuals")</f>
        <v>Forecast</v>
      </c>
      <c r="Z1" s="378" t="str">
        <f>IF(Z2&gt;'Project Summary'!$B$7,"Forecast","Actuals")</f>
        <v>Forecast</v>
      </c>
      <c r="AA1" s="378" t="str">
        <f>IF(AA2&gt;'Project Summary'!$B$7,"Forecast","Actuals")</f>
        <v>Forecast</v>
      </c>
      <c r="AB1" s="378" t="str">
        <f>IF(AB2&gt;'Project Summary'!$B$7,"Forecast","Actuals")</f>
        <v>Forecast</v>
      </c>
      <c r="AC1" s="378" t="str">
        <f>IF(AC2&gt;'Project Summary'!$B$7,"Forecast","Actuals")</f>
        <v>Forecast</v>
      </c>
      <c r="AD1" s="378" t="str">
        <f>IF(AD2&gt;'Project Summary'!$B$7,"Forecast","Actuals")</f>
        <v>Forecast</v>
      </c>
      <c r="AE1" s="378" t="str">
        <f>IF(AE2&gt;'Project Summary'!$B$7,"Forecast","Actuals")</f>
        <v>Forecast</v>
      </c>
      <c r="AF1" s="378" t="str">
        <f>IF(AF2&gt;'Project Summary'!$B$7,"Forecast","Actuals")</f>
        <v>Forecast</v>
      </c>
      <c r="AG1" s="378" t="str">
        <f>IF(AG2&gt;'Project Summary'!$B$7,"Forecast","Actuals")</f>
        <v>Forecast</v>
      </c>
      <c r="AH1" s="378" t="str">
        <f>IF(AH2&gt;'Project Summary'!$B$7,"Forecast","Actuals")</f>
        <v>Forecast</v>
      </c>
      <c r="AI1" s="378" t="str">
        <f>IF(AI2&gt;'Project Summary'!$B$7,"Forecast","Actuals")</f>
        <v>Forecast</v>
      </c>
      <c r="AJ1" s="378" t="str">
        <f>IF(AJ2&gt;'Project Summary'!$B$7,"Forecast","Actuals")</f>
        <v>Forecast</v>
      </c>
      <c r="AK1" s="378" t="str">
        <f>IF(AK2&gt;'Project Summary'!$B$7,"Forecast","Actuals")</f>
        <v>Forecast</v>
      </c>
    </row>
    <row r="2" spans="1:37" s="21" customFormat="1" ht="12.6" thickBot="1" x14ac:dyDescent="0.3">
      <c r="A2" s="379" t="s">
        <v>45</v>
      </c>
      <c r="B2" s="374">
        <f>Assumptions!C2</f>
        <v>41821</v>
      </c>
      <c r="C2" s="374">
        <f>EDATE(B2,1)</f>
        <v>41852</v>
      </c>
      <c r="D2" s="374">
        <f>EDATE(C2,1)</f>
        <v>41883</v>
      </c>
      <c r="E2" s="374">
        <f t="shared" ref="E2:AK2" si="0">EDATE(D2,1)</f>
        <v>41913</v>
      </c>
      <c r="F2" s="374">
        <f t="shared" si="0"/>
        <v>41944</v>
      </c>
      <c r="G2" s="374">
        <f t="shared" si="0"/>
        <v>41974</v>
      </c>
      <c r="H2" s="374">
        <f t="shared" si="0"/>
        <v>42005</v>
      </c>
      <c r="I2" s="374">
        <f t="shared" si="0"/>
        <v>42036</v>
      </c>
      <c r="J2" s="374">
        <f t="shared" si="0"/>
        <v>42064</v>
      </c>
      <c r="K2" s="374">
        <f t="shared" si="0"/>
        <v>42095</v>
      </c>
      <c r="L2" s="374">
        <f t="shared" si="0"/>
        <v>42125</v>
      </c>
      <c r="M2" s="374">
        <f t="shared" si="0"/>
        <v>42156</v>
      </c>
      <c r="N2" s="374">
        <f t="shared" si="0"/>
        <v>42186</v>
      </c>
      <c r="O2" s="374">
        <f t="shared" si="0"/>
        <v>42217</v>
      </c>
      <c r="P2" s="374">
        <f t="shared" si="0"/>
        <v>42248</v>
      </c>
      <c r="Q2" s="374">
        <f t="shared" si="0"/>
        <v>42278</v>
      </c>
      <c r="R2" s="374">
        <f t="shared" si="0"/>
        <v>42309</v>
      </c>
      <c r="S2" s="374">
        <f t="shared" si="0"/>
        <v>42339</v>
      </c>
      <c r="T2" s="374">
        <f t="shared" si="0"/>
        <v>42370</v>
      </c>
      <c r="U2" s="374">
        <f t="shared" si="0"/>
        <v>42401</v>
      </c>
      <c r="V2" s="374">
        <f t="shared" si="0"/>
        <v>42430</v>
      </c>
      <c r="W2" s="374">
        <f t="shared" si="0"/>
        <v>42461</v>
      </c>
      <c r="X2" s="374">
        <f t="shared" si="0"/>
        <v>42491</v>
      </c>
      <c r="Y2" s="374">
        <f t="shared" si="0"/>
        <v>42522</v>
      </c>
      <c r="Z2" s="374">
        <f t="shared" si="0"/>
        <v>42552</v>
      </c>
      <c r="AA2" s="374">
        <f t="shared" si="0"/>
        <v>42583</v>
      </c>
      <c r="AB2" s="374">
        <f t="shared" si="0"/>
        <v>42614</v>
      </c>
      <c r="AC2" s="374">
        <f t="shared" si="0"/>
        <v>42644</v>
      </c>
      <c r="AD2" s="374">
        <f t="shared" si="0"/>
        <v>42675</v>
      </c>
      <c r="AE2" s="374">
        <f t="shared" si="0"/>
        <v>42705</v>
      </c>
      <c r="AF2" s="374">
        <f t="shared" si="0"/>
        <v>42736</v>
      </c>
      <c r="AG2" s="374">
        <f t="shared" si="0"/>
        <v>42767</v>
      </c>
      <c r="AH2" s="374">
        <f t="shared" si="0"/>
        <v>42795</v>
      </c>
      <c r="AI2" s="374">
        <f t="shared" si="0"/>
        <v>42826</v>
      </c>
      <c r="AJ2" s="374">
        <f t="shared" si="0"/>
        <v>42856</v>
      </c>
      <c r="AK2" s="374">
        <f t="shared" si="0"/>
        <v>42887</v>
      </c>
    </row>
    <row r="3" spans="1:37" x14ac:dyDescent="0.3">
      <c r="A3" s="108" t="s">
        <v>7</v>
      </c>
      <c r="B3" s="109">
        <f t="shared" ref="B3:AK3" si="1">SUM(B4:B313)</f>
        <v>0</v>
      </c>
      <c r="C3" s="109">
        <f t="shared" si="1"/>
        <v>0</v>
      </c>
      <c r="D3" s="109">
        <f t="shared" si="1"/>
        <v>0</v>
      </c>
      <c r="E3" s="109">
        <f t="shared" si="1"/>
        <v>0</v>
      </c>
      <c r="F3" s="109">
        <f t="shared" si="1"/>
        <v>0</v>
      </c>
      <c r="G3" s="109">
        <f t="shared" si="1"/>
        <v>0</v>
      </c>
      <c r="H3" s="109">
        <f t="shared" si="1"/>
        <v>0</v>
      </c>
      <c r="I3" s="109">
        <f t="shared" si="1"/>
        <v>0</v>
      </c>
      <c r="J3" s="109">
        <f t="shared" si="1"/>
        <v>0</v>
      </c>
      <c r="K3" s="109">
        <f t="shared" si="1"/>
        <v>0</v>
      </c>
      <c r="L3" s="109">
        <f t="shared" si="1"/>
        <v>0</v>
      </c>
      <c r="M3" s="109">
        <f t="shared" si="1"/>
        <v>0</v>
      </c>
      <c r="N3" s="109">
        <f t="shared" si="1"/>
        <v>0</v>
      </c>
      <c r="O3" s="109">
        <f t="shared" si="1"/>
        <v>0</v>
      </c>
      <c r="P3" s="109">
        <f t="shared" si="1"/>
        <v>0</v>
      </c>
      <c r="Q3" s="109">
        <f t="shared" si="1"/>
        <v>0</v>
      </c>
      <c r="R3" s="109">
        <f t="shared" si="1"/>
        <v>0</v>
      </c>
      <c r="S3" s="109">
        <f t="shared" si="1"/>
        <v>0</v>
      </c>
      <c r="T3" s="109">
        <f t="shared" si="1"/>
        <v>0</v>
      </c>
      <c r="U3" s="109">
        <f t="shared" si="1"/>
        <v>0</v>
      </c>
      <c r="V3" s="109">
        <f t="shared" si="1"/>
        <v>0</v>
      </c>
      <c r="W3" s="109">
        <f t="shared" si="1"/>
        <v>0</v>
      </c>
      <c r="X3" s="109">
        <f t="shared" si="1"/>
        <v>0</v>
      </c>
      <c r="Y3" s="109">
        <f t="shared" si="1"/>
        <v>0</v>
      </c>
      <c r="Z3" s="109">
        <f t="shared" si="1"/>
        <v>0</v>
      </c>
      <c r="AA3" s="109">
        <f t="shared" si="1"/>
        <v>0</v>
      </c>
      <c r="AB3" s="109">
        <f t="shared" si="1"/>
        <v>0</v>
      </c>
      <c r="AC3" s="109">
        <f t="shared" si="1"/>
        <v>0</v>
      </c>
      <c r="AD3" s="109">
        <f t="shared" si="1"/>
        <v>0</v>
      </c>
      <c r="AE3" s="109">
        <f t="shared" si="1"/>
        <v>0</v>
      </c>
      <c r="AF3" s="109">
        <f t="shared" si="1"/>
        <v>0</v>
      </c>
      <c r="AG3" s="109">
        <f t="shared" si="1"/>
        <v>0</v>
      </c>
      <c r="AH3" s="109">
        <f t="shared" si="1"/>
        <v>0</v>
      </c>
      <c r="AI3" s="109">
        <f t="shared" si="1"/>
        <v>0</v>
      </c>
      <c r="AJ3" s="109">
        <f t="shared" si="1"/>
        <v>0</v>
      </c>
      <c r="AK3" s="109">
        <f t="shared" si="1"/>
        <v>0</v>
      </c>
    </row>
    <row r="4" spans="1:37" x14ac:dyDescent="0.3">
      <c r="A4" s="380">
        <v>1</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row>
    <row r="5" spans="1:37" x14ac:dyDescent="0.3">
      <c r="A5" s="380">
        <v>2</v>
      </c>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row>
    <row r="6" spans="1:37" x14ac:dyDescent="0.3">
      <c r="A6" s="380">
        <v>3</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row>
    <row r="7" spans="1:37" x14ac:dyDescent="0.3">
      <c r="A7" s="380">
        <v>4</v>
      </c>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row>
    <row r="8" spans="1:37" x14ac:dyDescent="0.3">
      <c r="A8" s="380">
        <v>5</v>
      </c>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row>
    <row r="9" spans="1:37" x14ac:dyDescent="0.3">
      <c r="A9" s="380">
        <v>6</v>
      </c>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row>
    <row r="10" spans="1:37" x14ac:dyDescent="0.3">
      <c r="A10" s="380">
        <v>7</v>
      </c>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row>
  </sheetData>
  <printOptions horizontalCentered="1" gridLines="1"/>
  <pageMargins left="0.7" right="0.7" top="0.75" bottom="0.75" header="0.3" footer="0.3"/>
  <pageSetup orientation="landscape" r:id="rId1"/>
  <headerFooter>
    <oddHeader>&amp;C&amp;"Arial,Bold"&amp;14&amp;A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Project Summary</vt:lpstr>
      <vt:lpstr>FY-1 Summary</vt:lpstr>
      <vt:lpstr>FY-2 Summary</vt:lpstr>
      <vt:lpstr>FY-3 Summary</vt:lpstr>
      <vt:lpstr>GL Actuals</vt:lpstr>
      <vt:lpstr> Costs Detail</vt:lpstr>
      <vt:lpstr>Labor Forecast</vt:lpstr>
      <vt:lpstr>Labor Hours</vt:lpstr>
      <vt:lpstr>MS Project Data - Forecast</vt:lpstr>
      <vt:lpstr>Budget</vt:lpstr>
      <vt:lpstr>Instructions</vt:lpstr>
      <vt:lpstr>Assumptions</vt:lpstr>
      <vt:lpstr>Project Changes</vt:lpstr>
      <vt:lpstr>Template Change Control</vt:lpstr>
      <vt:lpstr>'GL Actuals'!Print_Area</vt:lpstr>
      <vt:lpstr>'Labor Hours'!Print_Area</vt:lpstr>
      <vt:lpstr>' Costs Detail'!Print_Titles</vt:lpstr>
      <vt:lpstr>Budget!Print_Titles</vt:lpstr>
      <vt:lpstr>'Labor Forecast'!Print_Titles</vt:lpstr>
      <vt:lpstr>'Labor Hours'!Print_Titles</vt:lpstr>
      <vt:lpstr>'MS Project Data - Forecast'!Print_Titles</vt:lpstr>
    </vt:vector>
  </TitlesOfParts>
  <Company>Office of the 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2015-02-19T11:56:01Z</cp:lastPrinted>
  <dcterms:created xsi:type="dcterms:W3CDTF">2013-08-15T15:17:55Z</dcterms:created>
  <dcterms:modified xsi:type="dcterms:W3CDTF">2015-03-12T18:05:45Z</dcterms:modified>
</cp:coreProperties>
</file>